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P:\Daten\Modellbahn\Anlagenplanung\Fahrplan-MoBa\"/>
    </mc:Choice>
  </mc:AlternateContent>
  <xr:revisionPtr revIDLastSave="0" documentId="13_ncr:1_{D73182CD-2007-40EF-9DA6-75CBD769F86F}" xr6:coauthVersionLast="47" xr6:coauthVersionMax="47" xr10:uidLastSave="{00000000-0000-0000-0000-000000000000}"/>
  <bookViews>
    <workbookView xWindow="28680" yWindow="-120" windowWidth="29040" windowHeight="16440" xr2:uid="{A7B46E13-B9B4-46D0-A1CE-EF4B01AB1997}"/>
  </bookViews>
  <sheets>
    <sheet name="Fahrplan" sheetId="2" r:id="rId1"/>
    <sheet name="IC-Routen" sheetId="3" r:id="rId2"/>
    <sheet name="S-Bahn-Routen" sheetId="4" r:id="rId3"/>
    <sheet name="K-Zug-Routen" sheetId="5" r:id="rId4"/>
    <sheet name="R-Lok-Routen" sheetId="6" r:id="rId5"/>
    <sheet name="Haltestellen" sheetId="7" r:id="rId6"/>
  </sheets>
  <definedNames>
    <definedName name="_xlnm._FilterDatabase" localSheetId="0" hidden="1">Fahrplan!$A$1:$H$56</definedName>
    <definedName name="_xlnm._FilterDatabase" localSheetId="1" hidden="1">'IC-Routen'!$B$1:$E$47</definedName>
    <definedName name="_xlnm._FilterDatabase" localSheetId="3" hidden="1">'K-Zug-Routen'!$B$1:$E$47</definedName>
    <definedName name="_xlnm._FilterDatabase" localSheetId="4" hidden="1">'R-Lok-Routen'!$B$1:$E$47</definedName>
    <definedName name="_xlnm._FilterDatabase" localSheetId="2" hidden="1">'S-Bahn-Routen'!$B$1:$E$47</definedName>
  </definedNames>
  <calcPr calcId="191029" iterateDelta="1E-4" fullPrecision="0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" i="4" l="1"/>
  <c r="W3" i="2"/>
  <c r="W4" i="2"/>
  <c r="W5" i="2"/>
  <c r="W6" i="2"/>
  <c r="W7" i="2"/>
  <c r="W8" i="2"/>
  <c r="W9" i="2"/>
  <c r="W10" i="2"/>
  <c r="W11" i="2"/>
  <c r="W12" i="2"/>
  <c r="W13" i="2"/>
  <c r="W2" i="2"/>
  <c r="D4" i="2"/>
  <c r="D5" i="2"/>
  <c r="D6" i="2"/>
  <c r="D7" i="2"/>
  <c r="D8" i="2"/>
  <c r="D9" i="2"/>
  <c r="D10" i="2"/>
  <c r="D11" i="2"/>
  <c r="D12" i="2"/>
  <c r="D13" i="2"/>
  <c r="T25" i="4"/>
  <c r="L26" i="4"/>
  <c r="L24" i="4"/>
  <c r="L22" i="4"/>
  <c r="M22" i="4"/>
  <c r="O22" i="4"/>
  <c r="P22" i="4"/>
  <c r="Q22" i="4" s="1"/>
  <c r="X22" i="4"/>
  <c r="Y22" i="4" s="1"/>
  <c r="O23" i="4"/>
  <c r="P23" i="4"/>
  <c r="Q23" i="4"/>
  <c r="R23" i="4"/>
  <c r="U23" i="4" s="1"/>
  <c r="M24" i="4"/>
  <c r="O24" i="4"/>
  <c r="P24" i="4"/>
  <c r="Q24" i="4"/>
  <c r="X24" i="4"/>
  <c r="Z24" i="4" s="1"/>
  <c r="O25" i="4"/>
  <c r="P25" i="4"/>
  <c r="Q25" i="4"/>
  <c r="R25" i="4"/>
  <c r="V25" i="4" s="1"/>
  <c r="S25" i="4"/>
  <c r="M26" i="4"/>
  <c r="O26" i="4"/>
  <c r="P26" i="4"/>
  <c r="Q26" i="4"/>
  <c r="X26" i="4"/>
  <c r="AA26" i="4" s="1"/>
  <c r="O27" i="4"/>
  <c r="P27" i="4"/>
  <c r="Q27" i="4"/>
  <c r="R27" i="4"/>
  <c r="S27" i="4" s="1"/>
  <c r="U27" i="4"/>
  <c r="V27" i="4"/>
  <c r="X20" i="6"/>
  <c r="X18" i="6"/>
  <c r="X16" i="6"/>
  <c r="Y16" i="6" s="1"/>
  <c r="X14" i="6"/>
  <c r="Y14" i="6" s="1"/>
  <c r="X12" i="6"/>
  <c r="X10" i="6"/>
  <c r="X8" i="6"/>
  <c r="Y8" i="6" s="1"/>
  <c r="X6" i="6"/>
  <c r="Y6" i="6" s="1"/>
  <c r="X4" i="6"/>
  <c r="X2" i="6"/>
  <c r="R21" i="6"/>
  <c r="V21" i="6" s="1"/>
  <c r="R19" i="6"/>
  <c r="R17" i="6"/>
  <c r="R15" i="6"/>
  <c r="R13" i="6"/>
  <c r="R11" i="6"/>
  <c r="R9" i="6"/>
  <c r="R7" i="6"/>
  <c r="R5" i="6"/>
  <c r="R3" i="6"/>
  <c r="R25" i="5"/>
  <c r="T25" i="5" s="1"/>
  <c r="R23" i="5"/>
  <c r="U23" i="5" s="1"/>
  <c r="R21" i="5"/>
  <c r="U21" i="5" s="1"/>
  <c r="R19" i="5"/>
  <c r="U19" i="5" s="1"/>
  <c r="R17" i="5"/>
  <c r="R15" i="5"/>
  <c r="U15" i="5" s="1"/>
  <c r="R13" i="5"/>
  <c r="U13" i="5" s="1"/>
  <c r="R11" i="5"/>
  <c r="U11" i="5" s="1"/>
  <c r="R9" i="5"/>
  <c r="R7" i="5"/>
  <c r="R5" i="5"/>
  <c r="V5" i="5" s="1"/>
  <c r="V7" i="5" s="1"/>
  <c r="R3" i="5"/>
  <c r="S3" i="5" s="1"/>
  <c r="X24" i="5"/>
  <c r="AA24" i="5" s="1"/>
  <c r="X22" i="5"/>
  <c r="Y22" i="5" s="1"/>
  <c r="X20" i="5"/>
  <c r="AA20" i="5" s="1"/>
  <c r="X18" i="5"/>
  <c r="Y18" i="5" s="1"/>
  <c r="X16" i="5"/>
  <c r="AA16" i="5" s="1"/>
  <c r="X14" i="5"/>
  <c r="Y14" i="5" s="1"/>
  <c r="X12" i="5"/>
  <c r="X10" i="5"/>
  <c r="Y10" i="5" s="1"/>
  <c r="X8" i="5"/>
  <c r="X6" i="5"/>
  <c r="X4" i="5"/>
  <c r="Y4" i="5" s="1"/>
  <c r="X2" i="5"/>
  <c r="Y2" i="5" s="1"/>
  <c r="X20" i="4"/>
  <c r="Y20" i="4" s="1"/>
  <c r="X18" i="4"/>
  <c r="AA18" i="4" s="1"/>
  <c r="X16" i="4"/>
  <c r="X14" i="4"/>
  <c r="Y14" i="4" s="1"/>
  <c r="X12" i="4"/>
  <c r="AA12" i="4" s="1"/>
  <c r="X10" i="4"/>
  <c r="Y10" i="4" s="1"/>
  <c r="X8" i="4"/>
  <c r="X6" i="4"/>
  <c r="Y6" i="4" s="1"/>
  <c r="X4" i="4"/>
  <c r="X2" i="4"/>
  <c r="AA2" i="4" s="1"/>
  <c r="R21" i="4"/>
  <c r="U21" i="4" s="1"/>
  <c r="R19" i="4"/>
  <c r="U19" i="4" s="1"/>
  <c r="R17" i="4"/>
  <c r="R15" i="4"/>
  <c r="U15" i="4" s="1"/>
  <c r="R13" i="4"/>
  <c r="U13" i="4" s="1"/>
  <c r="R11" i="4"/>
  <c r="U11" i="4" s="1"/>
  <c r="R9" i="4"/>
  <c r="U9" i="4" s="1"/>
  <c r="R7" i="4"/>
  <c r="R5" i="4"/>
  <c r="R3" i="4"/>
  <c r="X22" i="3"/>
  <c r="Y22" i="3" s="1"/>
  <c r="X20" i="3"/>
  <c r="X18" i="3"/>
  <c r="Y18" i="3" s="1"/>
  <c r="X16" i="3"/>
  <c r="X14" i="3"/>
  <c r="X12" i="3"/>
  <c r="X10" i="3"/>
  <c r="X8" i="3"/>
  <c r="X6" i="3"/>
  <c r="X4" i="3"/>
  <c r="X2" i="3"/>
  <c r="R3" i="3"/>
  <c r="R5" i="3"/>
  <c r="R7" i="3"/>
  <c r="R9" i="3"/>
  <c r="R11" i="3"/>
  <c r="R13" i="3"/>
  <c r="R15" i="3"/>
  <c r="R17" i="3"/>
  <c r="T17" i="3" s="1"/>
  <c r="R23" i="3"/>
  <c r="U23" i="3" s="1"/>
  <c r="R21" i="3"/>
  <c r="R19" i="3"/>
  <c r="T19" i="3" s="1"/>
  <c r="L22" i="3"/>
  <c r="M22" i="3"/>
  <c r="O22" i="3"/>
  <c r="P22" i="3"/>
  <c r="Q22" i="3" s="1"/>
  <c r="O23" i="3"/>
  <c r="P23" i="3"/>
  <c r="Q23" i="3" s="1"/>
  <c r="G33" i="2"/>
  <c r="H33" i="2" s="1"/>
  <c r="G32" i="2"/>
  <c r="H32" i="2" s="1"/>
  <c r="G34" i="2"/>
  <c r="H34" i="2" s="1"/>
  <c r="G35" i="2"/>
  <c r="H35" i="2" s="1"/>
  <c r="F32" i="2"/>
  <c r="F33" i="2"/>
  <c r="F34" i="2"/>
  <c r="F35" i="2"/>
  <c r="D30" i="2"/>
  <c r="D31" i="2"/>
  <c r="E31" i="2" s="1"/>
  <c r="D32" i="2"/>
  <c r="E32" i="2" s="1"/>
  <c r="D33" i="2"/>
  <c r="E33" i="2" s="1"/>
  <c r="D34" i="2"/>
  <c r="E34" i="2" s="1"/>
  <c r="D35" i="2"/>
  <c r="E35" i="2" s="1"/>
  <c r="D21" i="2"/>
  <c r="D22" i="2"/>
  <c r="E22" i="2" s="1"/>
  <c r="D23" i="2"/>
  <c r="E23" i="2" s="1"/>
  <c r="D24" i="2"/>
  <c r="E24" i="2" s="1"/>
  <c r="G22" i="2"/>
  <c r="H22" i="2" s="1"/>
  <c r="G23" i="2"/>
  <c r="H23" i="2" s="1"/>
  <c r="G24" i="2"/>
  <c r="H24" i="2" s="1"/>
  <c r="F22" i="2"/>
  <c r="F23" i="2"/>
  <c r="F24" i="2"/>
  <c r="L24" i="5"/>
  <c r="L22" i="5"/>
  <c r="L20" i="5"/>
  <c r="L18" i="5"/>
  <c r="L16" i="5"/>
  <c r="L14" i="5"/>
  <c r="L12" i="5"/>
  <c r="L10" i="5"/>
  <c r="L8" i="5"/>
  <c r="L6" i="5"/>
  <c r="L4" i="5"/>
  <c r="L2" i="5"/>
  <c r="L20" i="4"/>
  <c r="L18" i="4"/>
  <c r="L16" i="4"/>
  <c r="L14" i="4"/>
  <c r="L12" i="4"/>
  <c r="L10" i="4"/>
  <c r="L8" i="4"/>
  <c r="L6" i="4"/>
  <c r="L4" i="4"/>
  <c r="L2" i="4"/>
  <c r="L20" i="3"/>
  <c r="L18" i="3"/>
  <c r="L16" i="3"/>
  <c r="L14" i="3"/>
  <c r="L12" i="3"/>
  <c r="L10" i="3"/>
  <c r="L8" i="3"/>
  <c r="L6" i="3"/>
  <c r="L4" i="3"/>
  <c r="L2" i="3"/>
  <c r="F31" i="2"/>
  <c r="G31" i="2"/>
  <c r="H31" i="2" s="1"/>
  <c r="W31" i="2"/>
  <c r="Y31" i="2"/>
  <c r="AA31" i="2"/>
  <c r="AC31" i="2"/>
  <c r="AJ31" i="2"/>
  <c r="AK31" i="2"/>
  <c r="AL31" i="2"/>
  <c r="AM31" i="2"/>
  <c r="W32" i="2"/>
  <c r="Y32" i="2"/>
  <c r="AA32" i="2"/>
  <c r="AC32" i="2"/>
  <c r="AJ32" i="2"/>
  <c r="AK32" i="2"/>
  <c r="AL32" i="2"/>
  <c r="AM32" i="2"/>
  <c r="Q21" i="6"/>
  <c r="Q20" i="6"/>
  <c r="Q19" i="6"/>
  <c r="Q18" i="6"/>
  <c r="Q17" i="6"/>
  <c r="Q16" i="6"/>
  <c r="Q15" i="6"/>
  <c r="Q14" i="6"/>
  <c r="AA18" i="6"/>
  <c r="AA14" i="6"/>
  <c r="AA12" i="6"/>
  <c r="AA10" i="6"/>
  <c r="AA6" i="6"/>
  <c r="AA4" i="6"/>
  <c r="AA2" i="6"/>
  <c r="U19" i="6"/>
  <c r="U17" i="6"/>
  <c r="U15" i="6"/>
  <c r="U13" i="6"/>
  <c r="U11" i="6"/>
  <c r="U9" i="6"/>
  <c r="U7" i="6"/>
  <c r="U5" i="6"/>
  <c r="U3" i="6"/>
  <c r="Y18" i="6"/>
  <c r="Y12" i="6"/>
  <c r="Y10" i="6"/>
  <c r="Y4" i="6"/>
  <c r="Y2" i="6"/>
  <c r="S3" i="6"/>
  <c r="T21" i="6"/>
  <c r="P21" i="6"/>
  <c r="O21" i="6"/>
  <c r="AB20" i="6"/>
  <c r="AA20" i="6"/>
  <c r="Z20" i="6"/>
  <c r="Y20" i="6"/>
  <c r="P20" i="6"/>
  <c r="O20" i="6"/>
  <c r="M20" i="6"/>
  <c r="P19" i="6"/>
  <c r="O19" i="6"/>
  <c r="P18" i="6"/>
  <c r="O18" i="6"/>
  <c r="M18" i="6"/>
  <c r="P17" i="6"/>
  <c r="O17" i="6"/>
  <c r="P16" i="6"/>
  <c r="O16" i="6"/>
  <c r="M16" i="6"/>
  <c r="P15" i="6"/>
  <c r="O15" i="6"/>
  <c r="P14" i="6"/>
  <c r="O14" i="6"/>
  <c r="M14" i="6"/>
  <c r="P13" i="6"/>
  <c r="Q13" i="6" s="1"/>
  <c r="O13" i="6"/>
  <c r="P12" i="6"/>
  <c r="Q12" i="6" s="1"/>
  <c r="O12" i="6"/>
  <c r="M12" i="6"/>
  <c r="P11" i="6"/>
  <c r="Q11" i="6" s="1"/>
  <c r="O11" i="6"/>
  <c r="P10" i="6"/>
  <c r="Q10" i="6" s="1"/>
  <c r="O10" i="6"/>
  <c r="M10" i="6"/>
  <c r="P9" i="6"/>
  <c r="Q9" i="6" s="1"/>
  <c r="O9" i="6"/>
  <c r="P8" i="6"/>
  <c r="Q8" i="6" s="1"/>
  <c r="O8" i="6"/>
  <c r="M8" i="6"/>
  <c r="P7" i="6"/>
  <c r="Q7" i="6" s="1"/>
  <c r="O7" i="6"/>
  <c r="P6" i="6"/>
  <c r="Q6" i="6" s="1"/>
  <c r="O6" i="6"/>
  <c r="M6" i="6"/>
  <c r="V5" i="6"/>
  <c r="V7" i="6" s="1"/>
  <c r="V9" i="6" s="1"/>
  <c r="V11" i="6" s="1"/>
  <c r="V13" i="6" s="1"/>
  <c r="V15" i="6" s="1"/>
  <c r="V17" i="6" s="1"/>
  <c r="V19" i="6" s="1"/>
  <c r="T5" i="6"/>
  <c r="T7" i="6" s="1"/>
  <c r="T9" i="6" s="1"/>
  <c r="T11" i="6" s="1"/>
  <c r="P5" i="6"/>
  <c r="Q5" i="6" s="1"/>
  <c r="O5" i="6"/>
  <c r="P4" i="6"/>
  <c r="Q4" i="6" s="1"/>
  <c r="O4" i="6"/>
  <c r="M4" i="6"/>
  <c r="P3" i="6"/>
  <c r="Q3" i="6" s="1"/>
  <c r="O3" i="6"/>
  <c r="AB2" i="6"/>
  <c r="AB4" i="6" s="1"/>
  <c r="AB6" i="6" s="1"/>
  <c r="AB8" i="6" s="1"/>
  <c r="AB10" i="6" s="1"/>
  <c r="AB12" i="6" s="1"/>
  <c r="AB14" i="6" s="1"/>
  <c r="AB16" i="6" s="1"/>
  <c r="AB18" i="6" s="1"/>
  <c r="Z2" i="6"/>
  <c r="Z4" i="6" s="1"/>
  <c r="Z6" i="6" s="1"/>
  <c r="Z8" i="6" s="1"/>
  <c r="Z10" i="6" s="1"/>
  <c r="Z12" i="6" s="1"/>
  <c r="Z14" i="6" s="1"/>
  <c r="Z16" i="6" s="1"/>
  <c r="Z18" i="6" s="1"/>
  <c r="P2" i="6"/>
  <c r="Q2" i="6" s="1"/>
  <c r="O2" i="6"/>
  <c r="M2" i="6"/>
  <c r="U25" i="5"/>
  <c r="P25" i="5"/>
  <c r="Q25" i="5" s="1"/>
  <c r="O25" i="5"/>
  <c r="P24" i="5"/>
  <c r="Q24" i="5" s="1"/>
  <c r="O24" i="5"/>
  <c r="M24" i="5"/>
  <c r="P23" i="5"/>
  <c r="Q23" i="5" s="1"/>
  <c r="O23" i="5"/>
  <c r="AA22" i="5"/>
  <c r="P22" i="5"/>
  <c r="Q22" i="5" s="1"/>
  <c r="O22" i="5"/>
  <c r="M22" i="5"/>
  <c r="AA14" i="5"/>
  <c r="AA12" i="5"/>
  <c r="AA8" i="5"/>
  <c r="AA6" i="5"/>
  <c r="AA4" i="5"/>
  <c r="Y20" i="5"/>
  <c r="Y16" i="5"/>
  <c r="Y12" i="5"/>
  <c r="Y8" i="5"/>
  <c r="Y6" i="5"/>
  <c r="U17" i="5"/>
  <c r="U9" i="5"/>
  <c r="U7" i="5"/>
  <c r="U5" i="5"/>
  <c r="U3" i="5"/>
  <c r="P21" i="5"/>
  <c r="Q21" i="5" s="1"/>
  <c r="O21" i="5"/>
  <c r="P20" i="5"/>
  <c r="Q20" i="5" s="1"/>
  <c r="O20" i="5"/>
  <c r="M20" i="5"/>
  <c r="P19" i="5"/>
  <c r="Q19" i="5" s="1"/>
  <c r="O19" i="5"/>
  <c r="P18" i="5"/>
  <c r="Q18" i="5" s="1"/>
  <c r="O18" i="5"/>
  <c r="M18" i="5"/>
  <c r="P17" i="5"/>
  <c r="Q17" i="5" s="1"/>
  <c r="O17" i="5"/>
  <c r="P16" i="5"/>
  <c r="Q16" i="5" s="1"/>
  <c r="O16" i="5"/>
  <c r="M16" i="5"/>
  <c r="P15" i="5"/>
  <c r="Q15" i="5" s="1"/>
  <c r="O15" i="5"/>
  <c r="P14" i="5"/>
  <c r="Q14" i="5" s="1"/>
  <c r="O14" i="5"/>
  <c r="M14" i="5"/>
  <c r="P13" i="5"/>
  <c r="Q13" i="5" s="1"/>
  <c r="O13" i="5"/>
  <c r="P12" i="5"/>
  <c r="Q12" i="5" s="1"/>
  <c r="O12" i="5"/>
  <c r="M12" i="5"/>
  <c r="P11" i="5"/>
  <c r="Q11" i="5" s="1"/>
  <c r="O11" i="5"/>
  <c r="P10" i="5"/>
  <c r="Q10" i="5" s="1"/>
  <c r="O10" i="5"/>
  <c r="M10" i="5"/>
  <c r="P9" i="5"/>
  <c r="Q9" i="5" s="1"/>
  <c r="O9" i="5"/>
  <c r="P8" i="5"/>
  <c r="Q8" i="5" s="1"/>
  <c r="O8" i="5"/>
  <c r="M8" i="5"/>
  <c r="P7" i="5"/>
  <c r="Q7" i="5" s="1"/>
  <c r="O7" i="5"/>
  <c r="P6" i="5"/>
  <c r="Q6" i="5" s="1"/>
  <c r="O6" i="5"/>
  <c r="M6" i="5"/>
  <c r="T5" i="5"/>
  <c r="T7" i="5" s="1"/>
  <c r="T9" i="5" s="1"/>
  <c r="T11" i="5" s="1"/>
  <c r="T13" i="5" s="1"/>
  <c r="T15" i="5" s="1"/>
  <c r="T17" i="5" s="1"/>
  <c r="P5" i="5"/>
  <c r="Q5" i="5" s="1"/>
  <c r="O5" i="5"/>
  <c r="P4" i="5"/>
  <c r="Q4" i="5" s="1"/>
  <c r="O4" i="5"/>
  <c r="M4" i="5"/>
  <c r="P3" i="5"/>
  <c r="Q3" i="5" s="1"/>
  <c r="O3" i="5"/>
  <c r="Z2" i="5"/>
  <c r="Z4" i="5" s="1"/>
  <c r="Z6" i="5" s="1"/>
  <c r="Z8" i="5" s="1"/>
  <c r="Z10" i="5" s="1"/>
  <c r="Z12" i="5" s="1"/>
  <c r="Z14" i="5" s="1"/>
  <c r="P2" i="5"/>
  <c r="Q2" i="5" s="1"/>
  <c r="O2" i="5"/>
  <c r="M2" i="5"/>
  <c r="M20" i="3"/>
  <c r="M18" i="3"/>
  <c r="M16" i="3"/>
  <c r="M14" i="3"/>
  <c r="M12" i="3"/>
  <c r="M10" i="3"/>
  <c r="M8" i="3"/>
  <c r="M6" i="3"/>
  <c r="M4" i="3"/>
  <c r="M2" i="3"/>
  <c r="M20" i="4"/>
  <c r="M18" i="4"/>
  <c r="M16" i="4"/>
  <c r="M14" i="4"/>
  <c r="M12" i="4"/>
  <c r="M10" i="4"/>
  <c r="M8" i="4"/>
  <c r="M6" i="4"/>
  <c r="M4" i="4"/>
  <c r="M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O4" i="4"/>
  <c r="O3" i="4"/>
  <c r="O2" i="4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4" i="3"/>
  <c r="O3" i="3"/>
  <c r="O2" i="3"/>
  <c r="AA16" i="4"/>
  <c r="AA8" i="4"/>
  <c r="AA4" i="4"/>
  <c r="U17" i="4"/>
  <c r="U7" i="4"/>
  <c r="U5" i="4"/>
  <c r="U3" i="4"/>
  <c r="Y18" i="4"/>
  <c r="Y16" i="4"/>
  <c r="Y8" i="4"/>
  <c r="Y4" i="4"/>
  <c r="S3" i="4"/>
  <c r="S5" i="4" s="1"/>
  <c r="S7" i="4" s="1"/>
  <c r="S9" i="4" s="1"/>
  <c r="S11" i="4" s="1"/>
  <c r="S13" i="4" s="1"/>
  <c r="P21" i="4"/>
  <c r="Q21" i="4" s="1"/>
  <c r="P20" i="4"/>
  <c r="Q20" i="4" s="1"/>
  <c r="P19" i="4"/>
  <c r="Q19" i="4" s="1"/>
  <c r="P18" i="4"/>
  <c r="Q18" i="4" s="1"/>
  <c r="P17" i="4"/>
  <c r="Q17" i="4" s="1"/>
  <c r="P16" i="4"/>
  <c r="Q16" i="4" s="1"/>
  <c r="P15" i="4"/>
  <c r="Q15" i="4" s="1"/>
  <c r="P14" i="4"/>
  <c r="Q14" i="4" s="1"/>
  <c r="P13" i="4"/>
  <c r="Q13" i="4" s="1"/>
  <c r="P12" i="4"/>
  <c r="Q12" i="4" s="1"/>
  <c r="P11" i="4"/>
  <c r="Q11" i="4" s="1"/>
  <c r="P10" i="4"/>
  <c r="Q10" i="4" s="1"/>
  <c r="P9" i="4"/>
  <c r="Q9" i="4" s="1"/>
  <c r="P8" i="4"/>
  <c r="Q8" i="4" s="1"/>
  <c r="P7" i="4"/>
  <c r="Q7" i="4" s="1"/>
  <c r="Q6" i="4"/>
  <c r="V5" i="4"/>
  <c r="V7" i="4" s="1"/>
  <c r="V9" i="4" s="1"/>
  <c r="T5" i="4"/>
  <c r="T7" i="4" s="1"/>
  <c r="T9" i="4" s="1"/>
  <c r="P5" i="4"/>
  <c r="Q5" i="4" s="1"/>
  <c r="P4" i="4"/>
  <c r="Q4" i="4" s="1"/>
  <c r="P3" i="4"/>
  <c r="Q3" i="4" s="1"/>
  <c r="AB2" i="4"/>
  <c r="AB4" i="4" s="1"/>
  <c r="Z2" i="4"/>
  <c r="Z4" i="4" s="1"/>
  <c r="P2" i="4"/>
  <c r="Q2" i="4" s="1"/>
  <c r="P21" i="3"/>
  <c r="Q21" i="3" s="1"/>
  <c r="P20" i="3"/>
  <c r="Q20" i="3" s="1"/>
  <c r="P19" i="3"/>
  <c r="Q19" i="3" s="1"/>
  <c r="P18" i="3"/>
  <c r="Q18" i="3" s="1"/>
  <c r="P17" i="3"/>
  <c r="Q17" i="3" s="1"/>
  <c r="P16" i="3"/>
  <c r="Q16" i="3" s="1"/>
  <c r="P15" i="3"/>
  <c r="Q15" i="3" s="1"/>
  <c r="P14" i="3"/>
  <c r="Q14" i="3" s="1"/>
  <c r="P13" i="3"/>
  <c r="Q13" i="3" s="1"/>
  <c r="P12" i="3"/>
  <c r="Q12" i="3" s="1"/>
  <c r="P11" i="3"/>
  <c r="Q11" i="3" s="1"/>
  <c r="P10" i="3"/>
  <c r="Q10" i="3" s="1"/>
  <c r="P9" i="3"/>
  <c r="Q9" i="3" s="1"/>
  <c r="P8" i="3"/>
  <c r="Q8" i="3" s="1"/>
  <c r="P7" i="3"/>
  <c r="Q7" i="3" s="1"/>
  <c r="P6" i="3"/>
  <c r="Q6" i="3" s="1"/>
  <c r="P5" i="3"/>
  <c r="Q5" i="3" s="1"/>
  <c r="P4" i="3"/>
  <c r="Q4" i="3" s="1"/>
  <c r="P3" i="3"/>
  <c r="Q3" i="3" s="1"/>
  <c r="P2" i="3"/>
  <c r="Q2" i="3" s="1"/>
  <c r="AA20" i="3"/>
  <c r="AA18" i="3"/>
  <c r="AA16" i="3"/>
  <c r="AA14" i="3"/>
  <c r="AA12" i="3"/>
  <c r="AA10" i="3"/>
  <c r="AA8" i="3"/>
  <c r="AA6" i="3"/>
  <c r="AA4" i="3"/>
  <c r="AA2" i="3"/>
  <c r="AB2" i="3"/>
  <c r="AB4" i="3" s="1"/>
  <c r="AB6" i="3" s="1"/>
  <c r="AB8" i="3" s="1"/>
  <c r="AB10" i="3" s="1"/>
  <c r="AB12" i="3" s="1"/>
  <c r="AB14" i="3" s="1"/>
  <c r="AB16" i="3" s="1"/>
  <c r="AB18" i="3" s="1"/>
  <c r="Y20" i="3"/>
  <c r="Y16" i="3"/>
  <c r="Y14" i="3"/>
  <c r="Y12" i="3"/>
  <c r="Y10" i="3"/>
  <c r="Y8" i="3"/>
  <c r="Y6" i="3"/>
  <c r="Y4" i="3"/>
  <c r="Z2" i="3"/>
  <c r="Z4" i="3" s="1"/>
  <c r="Z6" i="3" s="1"/>
  <c r="Z8" i="3" s="1"/>
  <c r="Z10" i="3" s="1"/>
  <c r="Z12" i="3" s="1"/>
  <c r="Z14" i="3" s="1"/>
  <c r="Z16" i="3" s="1"/>
  <c r="Z18" i="3" s="1"/>
  <c r="Z20" i="3" s="1"/>
  <c r="Y2" i="3"/>
  <c r="U21" i="3"/>
  <c r="U19" i="3"/>
  <c r="U17" i="3"/>
  <c r="U15" i="3"/>
  <c r="U13" i="3"/>
  <c r="U11" i="3"/>
  <c r="U9" i="3"/>
  <c r="U7" i="3"/>
  <c r="U5" i="3"/>
  <c r="V5" i="3"/>
  <c r="V7" i="3" s="1"/>
  <c r="V9" i="3" s="1"/>
  <c r="V11" i="3" s="1"/>
  <c r="V13" i="3" s="1"/>
  <c r="V15" i="3" s="1"/>
  <c r="V17" i="3" s="1"/>
  <c r="V19" i="3" s="1"/>
  <c r="V21" i="3" s="1"/>
  <c r="U3" i="3"/>
  <c r="T5" i="3"/>
  <c r="T7" i="3" s="1"/>
  <c r="T9" i="3" s="1"/>
  <c r="T11" i="3" s="1"/>
  <c r="T13" i="3" s="1"/>
  <c r="T15" i="3" s="1"/>
  <c r="S3" i="3"/>
  <c r="S5" i="3" s="1"/>
  <c r="S7" i="3" s="1"/>
  <c r="S9" i="3" s="1"/>
  <c r="S11" i="3" s="1"/>
  <c r="S13" i="3" s="1"/>
  <c r="S15" i="3" s="1"/>
  <c r="S17" i="3" s="1"/>
  <c r="S19" i="3" s="1"/>
  <c r="S21" i="3" s="1"/>
  <c r="S21" i="6" l="1"/>
  <c r="S5" i="6"/>
  <c r="S7" i="6" s="1"/>
  <c r="S9" i="6" s="1"/>
  <c r="S11" i="6" s="1"/>
  <c r="S13" i="6" s="1"/>
  <c r="S15" i="6" s="1"/>
  <c r="S17" i="6" s="1"/>
  <c r="S19" i="6" s="1"/>
  <c r="AA8" i="6"/>
  <c r="AA16" i="6"/>
  <c r="Z26" i="4"/>
  <c r="AB24" i="4"/>
  <c r="Y26" i="4"/>
  <c r="T23" i="4"/>
  <c r="U21" i="6"/>
  <c r="AB26" i="4"/>
  <c r="T27" i="4"/>
  <c r="T19" i="5"/>
  <c r="Y24" i="4"/>
  <c r="T21" i="4"/>
  <c r="T21" i="5"/>
  <c r="T23" i="5" s="1"/>
  <c r="T19" i="4"/>
  <c r="T11" i="4"/>
  <c r="T13" i="4" s="1"/>
  <c r="T15" i="4" s="1"/>
  <c r="T17" i="4" s="1"/>
  <c r="Y24" i="5"/>
  <c r="AA20" i="4"/>
  <c r="Y12" i="4"/>
  <c r="S15" i="4"/>
  <c r="S17" i="4" s="1"/>
  <c r="S19" i="4" s="1"/>
  <c r="S21" i="4" s="1"/>
  <c r="AA10" i="4"/>
  <c r="V11" i="4"/>
  <c r="V13" i="4" s="1"/>
  <c r="V15" i="4" s="1"/>
  <c r="V17" i="4" s="1"/>
  <c r="V19" i="4" s="1"/>
  <c r="V21" i="4" s="1"/>
  <c r="V23" i="4" s="1"/>
  <c r="Y2" i="4"/>
  <c r="S23" i="4"/>
  <c r="Z16" i="5"/>
  <c r="Z18" i="5" s="1"/>
  <c r="Z20" i="5" s="1"/>
  <c r="Z22" i="5" s="1"/>
  <c r="Z24" i="5" s="1"/>
  <c r="V9" i="5"/>
  <c r="V11" i="5" s="1"/>
  <c r="V13" i="5" s="1"/>
  <c r="V15" i="5" s="1"/>
  <c r="V17" i="5" s="1"/>
  <c r="V19" i="5" s="1"/>
  <c r="V21" i="5" s="1"/>
  <c r="V23" i="5" s="1"/>
  <c r="V25" i="5" s="1"/>
  <c r="S5" i="5"/>
  <c r="S7" i="5" s="1"/>
  <c r="S9" i="5" s="1"/>
  <c r="S11" i="5" s="1"/>
  <c r="S13" i="5" s="1"/>
  <c r="S15" i="5" s="1"/>
  <c r="S17" i="5" s="1"/>
  <c r="S19" i="5" s="1"/>
  <c r="S21" i="5" s="1"/>
  <c r="S23" i="5" s="1"/>
  <c r="S25" i="5" s="1"/>
  <c r="AB20" i="3"/>
  <c r="AA22" i="4"/>
  <c r="U25" i="4"/>
  <c r="AA24" i="4"/>
  <c r="T15" i="6"/>
  <c r="T17" i="6" s="1"/>
  <c r="T19" i="6" s="1"/>
  <c r="T13" i="6"/>
  <c r="AB2" i="5"/>
  <c r="AB4" i="5" s="1"/>
  <c r="AB6" i="5" s="1"/>
  <c r="AB8" i="5" s="1"/>
  <c r="AB10" i="5" s="1"/>
  <c r="AB12" i="5" s="1"/>
  <c r="AB14" i="5" s="1"/>
  <c r="AB16" i="5" s="1"/>
  <c r="AB18" i="5" s="1"/>
  <c r="AB20" i="5" s="1"/>
  <c r="AB22" i="5" s="1"/>
  <c r="AB24" i="5" s="1"/>
  <c r="AA2" i="5"/>
  <c r="AA10" i="5"/>
  <c r="AA18" i="5"/>
  <c r="Z6" i="4"/>
  <c r="Z8" i="4" s="1"/>
  <c r="Z10" i="4" s="1"/>
  <c r="Z12" i="4" s="1"/>
  <c r="Z14" i="4" s="1"/>
  <c r="Z16" i="4" s="1"/>
  <c r="Z18" i="4" s="1"/>
  <c r="Z20" i="4" s="1"/>
  <c r="Z22" i="4" s="1"/>
  <c r="AA6" i="4"/>
  <c r="AA14" i="4"/>
  <c r="AB6" i="4"/>
  <c r="AB8" i="4" s="1"/>
  <c r="AB10" i="4" s="1"/>
  <c r="AB12" i="4" s="1"/>
  <c r="AB14" i="4" s="1"/>
  <c r="AB16" i="4" s="1"/>
  <c r="AB18" i="4" s="1"/>
  <c r="AB20" i="4" s="1"/>
  <c r="AB22" i="4" s="1"/>
  <c r="Z22" i="3"/>
  <c r="AA22" i="3"/>
  <c r="AB22" i="3"/>
  <c r="T21" i="3"/>
  <c r="T23" i="3" s="1"/>
  <c r="V23" i="3"/>
  <c r="S23" i="3"/>
  <c r="AL3" i="2"/>
  <c r="AK4" i="2"/>
  <c r="AL4" i="2"/>
  <c r="AM4" i="2"/>
  <c r="AK5" i="2"/>
  <c r="AL5" i="2"/>
  <c r="AM5" i="2"/>
  <c r="AK6" i="2"/>
  <c r="AL6" i="2"/>
  <c r="AM6" i="2"/>
  <c r="AK7" i="2"/>
  <c r="AL7" i="2"/>
  <c r="AM7" i="2"/>
  <c r="AK8" i="2"/>
  <c r="AL8" i="2"/>
  <c r="AM8" i="2"/>
  <c r="AK9" i="2"/>
  <c r="AL9" i="2"/>
  <c r="AM9" i="2"/>
  <c r="AK10" i="2"/>
  <c r="AL10" i="2"/>
  <c r="AM10" i="2"/>
  <c r="AK11" i="2"/>
  <c r="AL11" i="2"/>
  <c r="AM11" i="2"/>
  <c r="AK12" i="2"/>
  <c r="AL12" i="2"/>
  <c r="AM12" i="2"/>
  <c r="AK13" i="2"/>
  <c r="AL13" i="2"/>
  <c r="AM13" i="2"/>
  <c r="AD14" i="2"/>
  <c r="AJ14" i="2"/>
  <c r="AK14" i="2"/>
  <c r="AL14" i="2"/>
  <c r="AM14" i="2"/>
  <c r="AJ15" i="2"/>
  <c r="AK15" i="2"/>
  <c r="AL15" i="2"/>
  <c r="AM15" i="2"/>
  <c r="AJ16" i="2"/>
  <c r="AK16" i="2"/>
  <c r="AL16" i="2"/>
  <c r="AM16" i="2"/>
  <c r="AJ17" i="2"/>
  <c r="AK17" i="2"/>
  <c r="AL17" i="2"/>
  <c r="AM17" i="2"/>
  <c r="AJ18" i="2"/>
  <c r="AK18" i="2"/>
  <c r="AL18" i="2"/>
  <c r="AM18" i="2"/>
  <c r="AJ19" i="2"/>
  <c r="AK19" i="2"/>
  <c r="AL19" i="2"/>
  <c r="AM19" i="2"/>
  <c r="AJ20" i="2"/>
  <c r="AK20" i="2"/>
  <c r="AL20" i="2"/>
  <c r="AM20" i="2"/>
  <c r="AJ21" i="2"/>
  <c r="AK21" i="2"/>
  <c r="AL21" i="2"/>
  <c r="AM21" i="2"/>
  <c r="AD25" i="2"/>
  <c r="AJ25" i="2"/>
  <c r="AK25" i="2"/>
  <c r="AL25" i="2"/>
  <c r="AM25" i="2"/>
  <c r="AJ26" i="2"/>
  <c r="AK26" i="2"/>
  <c r="AL26" i="2"/>
  <c r="AM26" i="2"/>
  <c r="AJ27" i="2"/>
  <c r="AK27" i="2"/>
  <c r="AL27" i="2"/>
  <c r="AM27" i="2"/>
  <c r="AJ28" i="2"/>
  <c r="AK28" i="2"/>
  <c r="AL28" i="2"/>
  <c r="AM28" i="2"/>
  <c r="AJ29" i="2"/>
  <c r="AK29" i="2"/>
  <c r="AL29" i="2"/>
  <c r="AM29" i="2"/>
  <c r="AJ30" i="2"/>
  <c r="AK30" i="2"/>
  <c r="AL30" i="2"/>
  <c r="AM30" i="2"/>
  <c r="AJ36" i="2"/>
  <c r="AK36" i="2"/>
  <c r="AL36" i="2"/>
  <c r="AM36" i="2"/>
  <c r="AJ37" i="2"/>
  <c r="AK37" i="2"/>
  <c r="AL37" i="2"/>
  <c r="AM37" i="2"/>
  <c r="AJ38" i="2"/>
  <c r="AK38" i="2"/>
  <c r="AL38" i="2"/>
  <c r="AM38" i="2"/>
  <c r="AJ39" i="2"/>
  <c r="AK39" i="2"/>
  <c r="AL39" i="2"/>
  <c r="AM39" i="2"/>
  <c r="AJ40" i="2"/>
  <c r="AK40" i="2"/>
  <c r="AL40" i="2"/>
  <c r="AM40" i="2"/>
  <c r="AJ41" i="2"/>
  <c r="AK41" i="2"/>
  <c r="AL41" i="2"/>
  <c r="AM41" i="2"/>
  <c r="AE42" i="2"/>
  <c r="AF42" i="2"/>
  <c r="AG42" i="2"/>
  <c r="AH42" i="2"/>
  <c r="AI42" i="2"/>
  <c r="AJ42" i="2"/>
  <c r="AK42" i="2"/>
  <c r="AL42" i="2"/>
  <c r="AM42" i="2"/>
  <c r="AE43" i="2"/>
  <c r="AF43" i="2"/>
  <c r="AG43" i="2"/>
  <c r="AH43" i="2"/>
  <c r="AI43" i="2"/>
  <c r="AJ43" i="2"/>
  <c r="AK43" i="2"/>
  <c r="AL43" i="2"/>
  <c r="AM43" i="2"/>
  <c r="AE44" i="2"/>
  <c r="AF44" i="2"/>
  <c r="AG44" i="2"/>
  <c r="AH44" i="2"/>
  <c r="AI44" i="2"/>
  <c r="AJ44" i="2"/>
  <c r="AK44" i="2"/>
  <c r="AL44" i="2"/>
  <c r="AM44" i="2"/>
  <c r="AE45" i="2"/>
  <c r="AF45" i="2"/>
  <c r="AG45" i="2"/>
  <c r="AH45" i="2"/>
  <c r="AI45" i="2"/>
  <c r="AJ45" i="2"/>
  <c r="AK45" i="2"/>
  <c r="AL45" i="2"/>
  <c r="AM45" i="2"/>
  <c r="AE46" i="2"/>
  <c r="AF46" i="2"/>
  <c r="AG46" i="2"/>
  <c r="AH46" i="2"/>
  <c r="AI46" i="2"/>
  <c r="AJ46" i="2"/>
  <c r="AK46" i="2"/>
  <c r="AL46" i="2"/>
  <c r="AM46" i="2"/>
  <c r="AE47" i="2"/>
  <c r="AF47" i="2"/>
  <c r="AG47" i="2"/>
  <c r="AH47" i="2"/>
  <c r="AI47" i="2"/>
  <c r="AJ47" i="2"/>
  <c r="AK47" i="2"/>
  <c r="AL47" i="2"/>
  <c r="AM47" i="2"/>
  <c r="AE48" i="2"/>
  <c r="AF48" i="2"/>
  <c r="AG48" i="2"/>
  <c r="AH48" i="2"/>
  <c r="AI48" i="2"/>
  <c r="AJ48" i="2"/>
  <c r="AK48" i="2"/>
  <c r="AL48" i="2"/>
  <c r="AM48" i="2"/>
  <c r="AE49" i="2"/>
  <c r="AF49" i="2"/>
  <c r="AG49" i="2"/>
  <c r="AH49" i="2"/>
  <c r="AI49" i="2"/>
  <c r="AJ49" i="2"/>
  <c r="AK49" i="2"/>
  <c r="AL49" i="2"/>
  <c r="AM49" i="2"/>
  <c r="AE50" i="2"/>
  <c r="AF50" i="2"/>
  <c r="AG50" i="2"/>
  <c r="AH50" i="2"/>
  <c r="AI50" i="2"/>
  <c r="AJ50" i="2"/>
  <c r="AK50" i="2"/>
  <c r="AL50" i="2"/>
  <c r="AM50" i="2"/>
  <c r="AE51" i="2"/>
  <c r="AF51" i="2"/>
  <c r="AG51" i="2"/>
  <c r="AH51" i="2"/>
  <c r="AI51" i="2"/>
  <c r="AJ51" i="2"/>
  <c r="AK51" i="2"/>
  <c r="AL51" i="2"/>
  <c r="AM51" i="2"/>
  <c r="AE52" i="2"/>
  <c r="AF52" i="2"/>
  <c r="AG52" i="2"/>
  <c r="AH52" i="2"/>
  <c r="AI52" i="2"/>
  <c r="AJ52" i="2"/>
  <c r="AK52" i="2"/>
  <c r="AL52" i="2"/>
  <c r="AM52" i="2"/>
  <c r="AE53" i="2"/>
  <c r="AF53" i="2"/>
  <c r="AG53" i="2"/>
  <c r="AH53" i="2"/>
  <c r="AI53" i="2"/>
  <c r="AJ53" i="2"/>
  <c r="AK53" i="2"/>
  <c r="AL53" i="2"/>
  <c r="AM53" i="2"/>
  <c r="AE54" i="2"/>
  <c r="AF54" i="2"/>
  <c r="AG54" i="2"/>
  <c r="AH54" i="2"/>
  <c r="AI54" i="2"/>
  <c r="AJ54" i="2"/>
  <c r="AK54" i="2"/>
  <c r="AL54" i="2"/>
  <c r="AM54" i="2"/>
  <c r="AE55" i="2"/>
  <c r="AF55" i="2"/>
  <c r="AG55" i="2"/>
  <c r="AH55" i="2"/>
  <c r="AI55" i="2"/>
  <c r="AJ55" i="2"/>
  <c r="AK55" i="2"/>
  <c r="AL55" i="2"/>
  <c r="AM55" i="2"/>
  <c r="AE56" i="2"/>
  <c r="AF56" i="2"/>
  <c r="AG56" i="2"/>
  <c r="AH56" i="2"/>
  <c r="AI56" i="2"/>
  <c r="AJ56" i="2"/>
  <c r="AK56" i="2"/>
  <c r="AL56" i="2"/>
  <c r="AM56" i="2"/>
  <c r="AM2" i="2"/>
  <c r="AL2" i="2"/>
  <c r="AK2" i="2"/>
  <c r="AD2" i="2"/>
  <c r="B47" i="6"/>
  <c r="B46" i="6"/>
  <c r="B45" i="6"/>
  <c r="J38" i="6"/>
  <c r="E38" i="6"/>
  <c r="C38" i="6"/>
  <c r="J37" i="6"/>
  <c r="E37" i="6"/>
  <c r="C37" i="6"/>
  <c r="J36" i="6"/>
  <c r="E36" i="6"/>
  <c r="C36" i="6"/>
  <c r="J35" i="6"/>
  <c r="E35" i="6"/>
  <c r="C35" i="6"/>
  <c r="J34" i="6"/>
  <c r="E34" i="6"/>
  <c r="C34" i="6"/>
  <c r="J33" i="6"/>
  <c r="E33" i="6"/>
  <c r="C33" i="6"/>
  <c r="J32" i="6"/>
  <c r="E32" i="6"/>
  <c r="C32" i="6"/>
  <c r="J31" i="6"/>
  <c r="E31" i="6"/>
  <c r="C31" i="6"/>
  <c r="J30" i="6"/>
  <c r="E30" i="6"/>
  <c r="C30" i="6"/>
  <c r="J29" i="6"/>
  <c r="E29" i="6"/>
  <c r="C29" i="6"/>
  <c r="J28" i="6"/>
  <c r="E28" i="6"/>
  <c r="C28" i="6"/>
  <c r="J27" i="6"/>
  <c r="E27" i="6"/>
  <c r="C27" i="6"/>
  <c r="J26" i="6"/>
  <c r="E26" i="6"/>
  <c r="C26" i="6"/>
  <c r="J25" i="6"/>
  <c r="E25" i="6"/>
  <c r="C25" i="6"/>
  <c r="J24" i="6"/>
  <c r="E24" i="6"/>
  <c r="C24" i="6"/>
  <c r="J23" i="6"/>
  <c r="E23" i="6"/>
  <c r="C23" i="6"/>
  <c r="J22" i="6"/>
  <c r="E22" i="6"/>
  <c r="C22" i="6"/>
  <c r="J21" i="6"/>
  <c r="E21" i="6"/>
  <c r="C21" i="6"/>
  <c r="J20" i="6"/>
  <c r="E20" i="6"/>
  <c r="C20" i="6"/>
  <c r="J19" i="6"/>
  <c r="E19" i="6"/>
  <c r="C19" i="6"/>
  <c r="J18" i="6"/>
  <c r="E18" i="6"/>
  <c r="C18" i="6"/>
  <c r="J17" i="6"/>
  <c r="E17" i="6"/>
  <c r="C17" i="6"/>
  <c r="J16" i="6"/>
  <c r="E16" i="6"/>
  <c r="C16" i="6"/>
  <c r="J15" i="6"/>
  <c r="E15" i="6"/>
  <c r="C15" i="6"/>
  <c r="J14" i="6"/>
  <c r="E14" i="6"/>
  <c r="C14" i="6"/>
  <c r="J13" i="6"/>
  <c r="E13" i="6"/>
  <c r="C13" i="6"/>
  <c r="J12" i="6"/>
  <c r="E12" i="6"/>
  <c r="C12" i="6"/>
  <c r="J11" i="6"/>
  <c r="E11" i="6"/>
  <c r="C11" i="6"/>
  <c r="J10" i="6"/>
  <c r="E10" i="6"/>
  <c r="C10" i="6"/>
  <c r="J9" i="6"/>
  <c r="E9" i="6"/>
  <c r="C9" i="6"/>
  <c r="J8" i="6"/>
  <c r="E8" i="6"/>
  <c r="C8" i="6"/>
  <c r="J7" i="6"/>
  <c r="E7" i="6"/>
  <c r="C7" i="6"/>
  <c r="J6" i="6"/>
  <c r="E6" i="6"/>
  <c r="C6" i="6"/>
  <c r="J5" i="6"/>
  <c r="E5" i="6"/>
  <c r="C5" i="6"/>
  <c r="J4" i="6"/>
  <c r="E4" i="6"/>
  <c r="C4" i="6"/>
  <c r="J3" i="6"/>
  <c r="E3" i="6"/>
  <c r="C3" i="6"/>
  <c r="J2" i="6"/>
  <c r="E2" i="6"/>
  <c r="C2" i="6"/>
  <c r="B47" i="5"/>
  <c r="B46" i="5"/>
  <c r="B45" i="5"/>
  <c r="J38" i="5"/>
  <c r="E38" i="5"/>
  <c r="C38" i="5"/>
  <c r="J37" i="5"/>
  <c r="E37" i="5"/>
  <c r="C37" i="5"/>
  <c r="J36" i="5"/>
  <c r="E36" i="5"/>
  <c r="C36" i="5"/>
  <c r="J35" i="5"/>
  <c r="E35" i="5"/>
  <c r="C35" i="5"/>
  <c r="J34" i="5"/>
  <c r="E34" i="5"/>
  <c r="C34" i="5"/>
  <c r="J33" i="5"/>
  <c r="E33" i="5"/>
  <c r="C33" i="5"/>
  <c r="J32" i="5"/>
  <c r="E32" i="5"/>
  <c r="C32" i="5"/>
  <c r="J31" i="5"/>
  <c r="E31" i="5"/>
  <c r="C31" i="5"/>
  <c r="J30" i="5"/>
  <c r="E30" i="5"/>
  <c r="C30" i="5"/>
  <c r="J29" i="5"/>
  <c r="E29" i="5"/>
  <c r="C29" i="5"/>
  <c r="J28" i="5"/>
  <c r="E28" i="5"/>
  <c r="C28" i="5"/>
  <c r="J27" i="5"/>
  <c r="E27" i="5"/>
  <c r="C27" i="5"/>
  <c r="J26" i="5"/>
  <c r="E26" i="5"/>
  <c r="C26" i="5"/>
  <c r="J25" i="5"/>
  <c r="E25" i="5"/>
  <c r="C25" i="5"/>
  <c r="J24" i="5"/>
  <c r="E24" i="5"/>
  <c r="C24" i="5"/>
  <c r="J23" i="5"/>
  <c r="E23" i="5"/>
  <c r="C23" i="5"/>
  <c r="J22" i="5"/>
  <c r="E22" i="5"/>
  <c r="C22" i="5"/>
  <c r="J21" i="5"/>
  <c r="E21" i="5"/>
  <c r="C21" i="5"/>
  <c r="J20" i="5"/>
  <c r="E20" i="5"/>
  <c r="C20" i="5"/>
  <c r="J19" i="5"/>
  <c r="E19" i="5"/>
  <c r="C19" i="5"/>
  <c r="J18" i="5"/>
  <c r="E18" i="5"/>
  <c r="C18" i="5"/>
  <c r="J17" i="5"/>
  <c r="E17" i="5"/>
  <c r="C17" i="5"/>
  <c r="J16" i="5"/>
  <c r="E16" i="5"/>
  <c r="C16" i="5"/>
  <c r="J15" i="5"/>
  <c r="E15" i="5"/>
  <c r="C15" i="5"/>
  <c r="J14" i="5"/>
  <c r="E14" i="5"/>
  <c r="C14" i="5"/>
  <c r="E13" i="5"/>
  <c r="C13" i="5"/>
  <c r="E12" i="5"/>
  <c r="C12" i="5"/>
  <c r="E11" i="5"/>
  <c r="C11" i="5"/>
  <c r="E10" i="5"/>
  <c r="C10" i="5"/>
  <c r="E9" i="5"/>
  <c r="C9" i="5"/>
  <c r="E8" i="5"/>
  <c r="C8" i="5"/>
  <c r="E7" i="5"/>
  <c r="C7" i="5"/>
  <c r="E6" i="5"/>
  <c r="C6" i="5"/>
  <c r="E5" i="5"/>
  <c r="C5" i="5"/>
  <c r="E4" i="5"/>
  <c r="C4" i="5"/>
  <c r="E3" i="5"/>
  <c r="C3" i="5"/>
  <c r="E2" i="5"/>
  <c r="C2" i="5"/>
  <c r="B47" i="4"/>
  <c r="B46" i="4"/>
  <c r="B45" i="4"/>
  <c r="J38" i="4"/>
  <c r="E38" i="4"/>
  <c r="C38" i="4"/>
  <c r="J37" i="4"/>
  <c r="E37" i="4"/>
  <c r="C37" i="4"/>
  <c r="J36" i="4"/>
  <c r="E36" i="4"/>
  <c r="C36" i="4"/>
  <c r="J35" i="4"/>
  <c r="E35" i="4"/>
  <c r="C35" i="4"/>
  <c r="J34" i="4"/>
  <c r="E34" i="4"/>
  <c r="C34" i="4"/>
  <c r="J33" i="4"/>
  <c r="E33" i="4"/>
  <c r="C33" i="4"/>
  <c r="J32" i="4"/>
  <c r="E32" i="4"/>
  <c r="C32" i="4"/>
  <c r="J31" i="4"/>
  <c r="E31" i="4"/>
  <c r="C31" i="4"/>
  <c r="J30" i="4"/>
  <c r="E30" i="4"/>
  <c r="C30" i="4"/>
  <c r="J29" i="4"/>
  <c r="E29" i="4"/>
  <c r="C29" i="4"/>
  <c r="J28" i="4"/>
  <c r="E28" i="4"/>
  <c r="C28" i="4"/>
  <c r="J27" i="4"/>
  <c r="E27" i="4"/>
  <c r="C27" i="4"/>
  <c r="J26" i="4"/>
  <c r="E26" i="4"/>
  <c r="C26" i="4"/>
  <c r="J25" i="4"/>
  <c r="E25" i="4"/>
  <c r="C25" i="4"/>
  <c r="J24" i="4"/>
  <c r="E24" i="4"/>
  <c r="C24" i="4"/>
  <c r="J23" i="4"/>
  <c r="E23" i="4"/>
  <c r="C23" i="4"/>
  <c r="J22" i="4"/>
  <c r="E22" i="4"/>
  <c r="C22" i="4"/>
  <c r="J21" i="4"/>
  <c r="E21" i="4"/>
  <c r="C21" i="4"/>
  <c r="J20" i="4"/>
  <c r="E20" i="4"/>
  <c r="C20" i="4"/>
  <c r="J19" i="4"/>
  <c r="E19" i="4"/>
  <c r="C19" i="4"/>
  <c r="J18" i="4"/>
  <c r="E18" i="4"/>
  <c r="C18" i="4"/>
  <c r="J17" i="4"/>
  <c r="E17" i="4"/>
  <c r="C17" i="4"/>
  <c r="J16" i="4"/>
  <c r="E16" i="4"/>
  <c r="C16" i="4"/>
  <c r="J15" i="4"/>
  <c r="E15" i="4"/>
  <c r="C15" i="4"/>
  <c r="J14" i="4"/>
  <c r="E14" i="4"/>
  <c r="C14" i="4"/>
  <c r="J13" i="4"/>
  <c r="E13" i="4"/>
  <c r="C13" i="4"/>
  <c r="J12" i="4"/>
  <c r="E12" i="4"/>
  <c r="C12" i="4"/>
  <c r="J11" i="4"/>
  <c r="E11" i="4"/>
  <c r="C11" i="4"/>
  <c r="J10" i="4"/>
  <c r="E10" i="4"/>
  <c r="C10" i="4"/>
  <c r="J9" i="4"/>
  <c r="E9" i="4"/>
  <c r="C9" i="4"/>
  <c r="J8" i="4"/>
  <c r="E8" i="4"/>
  <c r="C8" i="4"/>
  <c r="J7" i="4"/>
  <c r="E7" i="4"/>
  <c r="C7" i="4"/>
  <c r="J6" i="4"/>
  <c r="E6" i="4"/>
  <c r="C6" i="4"/>
  <c r="J5" i="4"/>
  <c r="E5" i="4"/>
  <c r="C5" i="4"/>
  <c r="J4" i="4"/>
  <c r="E4" i="4"/>
  <c r="C4" i="4"/>
  <c r="J3" i="4"/>
  <c r="E3" i="4"/>
  <c r="C3" i="4"/>
  <c r="J2" i="4"/>
  <c r="E2" i="4"/>
  <c r="C2" i="4"/>
  <c r="B47" i="3"/>
  <c r="B46" i="3"/>
  <c r="B45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E20" i="3"/>
  <c r="C20" i="3"/>
  <c r="J19" i="3"/>
  <c r="E19" i="3"/>
  <c r="C19" i="3"/>
  <c r="J18" i="3"/>
  <c r="E18" i="3"/>
  <c r="C18" i="3"/>
  <c r="J17" i="3"/>
  <c r="E17" i="3"/>
  <c r="C17" i="3"/>
  <c r="J16" i="3"/>
  <c r="E16" i="3"/>
  <c r="C16" i="3"/>
  <c r="J15" i="3"/>
  <c r="E15" i="3"/>
  <c r="C15" i="3"/>
  <c r="J14" i="3"/>
  <c r="E14" i="3"/>
  <c r="C14" i="3"/>
  <c r="J13" i="3"/>
  <c r="E13" i="3"/>
  <c r="C13" i="3"/>
  <c r="J12" i="3"/>
  <c r="E12" i="3"/>
  <c r="C12" i="3"/>
  <c r="J11" i="3"/>
  <c r="E11" i="3"/>
  <c r="C11" i="3"/>
  <c r="J10" i="3"/>
  <c r="E10" i="3"/>
  <c r="C10" i="3"/>
  <c r="J9" i="3"/>
  <c r="E9" i="3"/>
  <c r="C9" i="3"/>
  <c r="J8" i="3"/>
  <c r="E8" i="3"/>
  <c r="C8" i="3"/>
  <c r="J7" i="3"/>
  <c r="E7" i="3"/>
  <c r="C7" i="3"/>
  <c r="J6" i="3"/>
  <c r="E6" i="3"/>
  <c r="C6" i="3"/>
  <c r="J5" i="3"/>
  <c r="E5" i="3"/>
  <c r="C5" i="3"/>
  <c r="J4" i="3"/>
  <c r="E4" i="3"/>
  <c r="C4" i="3"/>
  <c r="J3" i="3"/>
  <c r="E3" i="3"/>
  <c r="C3" i="3"/>
  <c r="E2" i="3"/>
  <c r="C2" i="3"/>
  <c r="AC56" i="2"/>
  <c r="AA56" i="2"/>
  <c r="Y56" i="2"/>
  <c r="W56" i="2"/>
  <c r="U56" i="2"/>
  <c r="S56" i="2"/>
  <c r="Q56" i="2"/>
  <c r="O56" i="2"/>
  <c r="M56" i="2"/>
  <c r="J56" i="2"/>
  <c r="K56" i="2" s="1"/>
  <c r="H56" i="2"/>
  <c r="E56" i="2"/>
  <c r="AC55" i="2"/>
  <c r="AA55" i="2"/>
  <c r="Y55" i="2"/>
  <c r="W55" i="2"/>
  <c r="U55" i="2"/>
  <c r="S55" i="2"/>
  <c r="Q55" i="2"/>
  <c r="O55" i="2"/>
  <c r="M55" i="2"/>
  <c r="J55" i="2"/>
  <c r="K55" i="2" s="1"/>
  <c r="H55" i="2"/>
  <c r="E55" i="2"/>
  <c r="AC54" i="2"/>
  <c r="AA54" i="2"/>
  <c r="Y54" i="2"/>
  <c r="W54" i="2"/>
  <c r="U54" i="2"/>
  <c r="S54" i="2"/>
  <c r="Q54" i="2"/>
  <c r="O54" i="2"/>
  <c r="M54" i="2"/>
  <c r="J54" i="2"/>
  <c r="K54" i="2" s="1"/>
  <c r="H54" i="2"/>
  <c r="E54" i="2"/>
  <c r="AC53" i="2"/>
  <c r="AA53" i="2"/>
  <c r="Y53" i="2"/>
  <c r="W53" i="2"/>
  <c r="U53" i="2"/>
  <c r="S53" i="2"/>
  <c r="Q53" i="2"/>
  <c r="O53" i="2"/>
  <c r="M53" i="2"/>
  <c r="J53" i="2"/>
  <c r="AD53" i="2" s="1"/>
  <c r="H53" i="2"/>
  <c r="E53" i="2"/>
  <c r="AC52" i="2"/>
  <c r="AA52" i="2"/>
  <c r="Y52" i="2"/>
  <c r="W52" i="2"/>
  <c r="U52" i="2"/>
  <c r="S52" i="2"/>
  <c r="Q52" i="2"/>
  <c r="O52" i="2"/>
  <c r="M52" i="2"/>
  <c r="J52" i="2"/>
  <c r="K52" i="2" s="1"/>
  <c r="H52" i="2"/>
  <c r="E52" i="2"/>
  <c r="AC51" i="2"/>
  <c r="AA51" i="2"/>
  <c r="Y51" i="2"/>
  <c r="W51" i="2"/>
  <c r="U51" i="2"/>
  <c r="S51" i="2"/>
  <c r="Q51" i="2"/>
  <c r="O51" i="2"/>
  <c r="M51" i="2"/>
  <c r="J51" i="2"/>
  <c r="K51" i="2" s="1"/>
  <c r="H51" i="2"/>
  <c r="E51" i="2"/>
  <c r="AC50" i="2"/>
  <c r="AA50" i="2"/>
  <c r="Y50" i="2"/>
  <c r="W50" i="2"/>
  <c r="U50" i="2"/>
  <c r="S50" i="2"/>
  <c r="Q50" i="2"/>
  <c r="O50" i="2"/>
  <c r="M50" i="2"/>
  <c r="J50" i="2"/>
  <c r="K50" i="2" s="1"/>
  <c r="H50" i="2"/>
  <c r="E50" i="2"/>
  <c r="AC49" i="2"/>
  <c r="AA49" i="2"/>
  <c r="Y49" i="2"/>
  <c r="W49" i="2"/>
  <c r="U49" i="2"/>
  <c r="S49" i="2"/>
  <c r="Q49" i="2"/>
  <c r="O49" i="2"/>
  <c r="M49" i="2"/>
  <c r="J49" i="2"/>
  <c r="K49" i="2" s="1"/>
  <c r="H49" i="2"/>
  <c r="E49" i="2"/>
  <c r="AC48" i="2"/>
  <c r="AA48" i="2"/>
  <c r="Y48" i="2"/>
  <c r="W48" i="2"/>
  <c r="U48" i="2"/>
  <c r="S48" i="2"/>
  <c r="Q48" i="2"/>
  <c r="O48" i="2"/>
  <c r="M48" i="2"/>
  <c r="J48" i="2"/>
  <c r="K48" i="2" s="1"/>
  <c r="H48" i="2"/>
  <c r="E48" i="2"/>
  <c r="AC47" i="2"/>
  <c r="AA47" i="2"/>
  <c r="Y47" i="2"/>
  <c r="W47" i="2"/>
  <c r="U47" i="2"/>
  <c r="S47" i="2"/>
  <c r="Q47" i="2"/>
  <c r="O47" i="2"/>
  <c r="M47" i="2"/>
  <c r="J47" i="2"/>
  <c r="H47" i="2"/>
  <c r="E47" i="2"/>
  <c r="AC46" i="2"/>
  <c r="AA46" i="2"/>
  <c r="Y46" i="2"/>
  <c r="W46" i="2"/>
  <c r="U46" i="2"/>
  <c r="S46" i="2"/>
  <c r="Q46" i="2"/>
  <c r="O46" i="2"/>
  <c r="M46" i="2"/>
  <c r="J46" i="2"/>
  <c r="H46" i="2"/>
  <c r="E46" i="2"/>
  <c r="AC45" i="2"/>
  <c r="AA45" i="2"/>
  <c r="Y45" i="2"/>
  <c r="W45" i="2"/>
  <c r="U45" i="2"/>
  <c r="S45" i="2"/>
  <c r="Q45" i="2"/>
  <c r="O45" i="2"/>
  <c r="M45" i="2"/>
  <c r="J45" i="2"/>
  <c r="H45" i="2"/>
  <c r="E45" i="2"/>
  <c r="AC44" i="2"/>
  <c r="AA44" i="2"/>
  <c r="Y44" i="2"/>
  <c r="W44" i="2"/>
  <c r="U44" i="2"/>
  <c r="S44" i="2"/>
  <c r="Q44" i="2"/>
  <c r="O44" i="2"/>
  <c r="M44" i="2"/>
  <c r="J44" i="2"/>
  <c r="H44" i="2"/>
  <c r="E44" i="2"/>
  <c r="AC43" i="2"/>
  <c r="AA43" i="2"/>
  <c r="Y43" i="2"/>
  <c r="W43" i="2"/>
  <c r="U43" i="2"/>
  <c r="S43" i="2"/>
  <c r="Q43" i="2"/>
  <c r="O43" i="2"/>
  <c r="M43" i="2"/>
  <c r="J43" i="2"/>
  <c r="H43" i="2"/>
  <c r="E43" i="2"/>
  <c r="AC42" i="2"/>
  <c r="AA42" i="2"/>
  <c r="Y42" i="2"/>
  <c r="W42" i="2"/>
  <c r="U42" i="2"/>
  <c r="S42" i="2"/>
  <c r="Q42" i="2"/>
  <c r="O42" i="2"/>
  <c r="M42" i="2"/>
  <c r="J42" i="2"/>
  <c r="H42" i="2"/>
  <c r="E42" i="2"/>
  <c r="AC41" i="2"/>
  <c r="AA41" i="2"/>
  <c r="Y41" i="2"/>
  <c r="W41" i="2"/>
  <c r="G41" i="2"/>
  <c r="H41" i="2" s="1"/>
  <c r="F41" i="2"/>
  <c r="D41" i="2"/>
  <c r="E41" i="2" s="1"/>
  <c r="AC40" i="2"/>
  <c r="AA40" i="2"/>
  <c r="Y40" i="2"/>
  <c r="W40" i="2"/>
  <c r="G40" i="2"/>
  <c r="H40" i="2" s="1"/>
  <c r="F40" i="2"/>
  <c r="D40" i="2"/>
  <c r="E40" i="2" s="1"/>
  <c r="AC39" i="2"/>
  <c r="AA39" i="2"/>
  <c r="Y39" i="2"/>
  <c r="W39" i="2"/>
  <c r="G39" i="2"/>
  <c r="H39" i="2" s="1"/>
  <c r="F39" i="2"/>
  <c r="D39" i="2"/>
  <c r="E39" i="2" s="1"/>
  <c r="AC38" i="2"/>
  <c r="AA38" i="2"/>
  <c r="Y38" i="2"/>
  <c r="W38" i="2"/>
  <c r="G38" i="2"/>
  <c r="H38" i="2" s="1"/>
  <c r="F38" i="2"/>
  <c r="D38" i="2"/>
  <c r="E38" i="2" s="1"/>
  <c r="AC37" i="2"/>
  <c r="AA37" i="2"/>
  <c r="Y37" i="2"/>
  <c r="W37" i="2"/>
  <c r="G37" i="2"/>
  <c r="H37" i="2" s="1"/>
  <c r="F37" i="2"/>
  <c r="D37" i="2"/>
  <c r="E37" i="2" s="1"/>
  <c r="AC36" i="2"/>
  <c r="AA36" i="2"/>
  <c r="Y36" i="2"/>
  <c r="W36" i="2"/>
  <c r="AD36" i="2"/>
  <c r="G36" i="2"/>
  <c r="H36" i="2" s="1"/>
  <c r="F36" i="2"/>
  <c r="D36" i="2"/>
  <c r="E36" i="2" s="1"/>
  <c r="AC30" i="2"/>
  <c r="AA30" i="2"/>
  <c r="Y30" i="2"/>
  <c r="W30" i="2"/>
  <c r="G30" i="2"/>
  <c r="H30" i="2" s="1"/>
  <c r="F30" i="2"/>
  <c r="E30" i="2"/>
  <c r="AC29" i="2"/>
  <c r="AA29" i="2"/>
  <c r="Y29" i="2"/>
  <c r="W29" i="2"/>
  <c r="G29" i="2"/>
  <c r="H29" i="2" s="1"/>
  <c r="F29" i="2"/>
  <c r="D29" i="2"/>
  <c r="E29" i="2" s="1"/>
  <c r="AC28" i="2"/>
  <c r="AA28" i="2"/>
  <c r="Y28" i="2"/>
  <c r="W28" i="2"/>
  <c r="G28" i="2"/>
  <c r="H28" i="2" s="1"/>
  <c r="F28" i="2"/>
  <c r="D28" i="2"/>
  <c r="E28" i="2" s="1"/>
  <c r="AC27" i="2"/>
  <c r="AA27" i="2"/>
  <c r="Y27" i="2"/>
  <c r="W27" i="2"/>
  <c r="G27" i="2"/>
  <c r="H27" i="2" s="1"/>
  <c r="F27" i="2"/>
  <c r="D27" i="2"/>
  <c r="E27" i="2" s="1"/>
  <c r="AC26" i="2"/>
  <c r="AA26" i="2"/>
  <c r="Y26" i="2"/>
  <c r="W26" i="2"/>
  <c r="G26" i="2"/>
  <c r="H26" i="2" s="1"/>
  <c r="F26" i="2"/>
  <c r="D26" i="2"/>
  <c r="E26" i="2" s="1"/>
  <c r="AC25" i="2"/>
  <c r="AA25" i="2"/>
  <c r="Y25" i="2"/>
  <c r="W25" i="2"/>
  <c r="G25" i="2"/>
  <c r="H25" i="2" s="1"/>
  <c r="F25" i="2"/>
  <c r="K25" i="2" s="1"/>
  <c r="D25" i="2"/>
  <c r="E25" i="2" s="1"/>
  <c r="AC21" i="2"/>
  <c r="AA21" i="2"/>
  <c r="Y21" i="2"/>
  <c r="W21" i="2"/>
  <c r="G21" i="2"/>
  <c r="H21" i="2" s="1"/>
  <c r="F21" i="2"/>
  <c r="E21" i="2"/>
  <c r="AC20" i="2"/>
  <c r="AA20" i="2"/>
  <c r="Y20" i="2"/>
  <c r="W20" i="2"/>
  <c r="G20" i="2"/>
  <c r="H20" i="2" s="1"/>
  <c r="F20" i="2"/>
  <c r="D20" i="2"/>
  <c r="E20" i="2" s="1"/>
  <c r="AC19" i="2"/>
  <c r="AA19" i="2"/>
  <c r="Y19" i="2"/>
  <c r="W19" i="2"/>
  <c r="G19" i="2"/>
  <c r="H19" i="2" s="1"/>
  <c r="F19" i="2"/>
  <c r="D19" i="2"/>
  <c r="E19" i="2" s="1"/>
  <c r="AC18" i="2"/>
  <c r="AA18" i="2"/>
  <c r="Y18" i="2"/>
  <c r="W18" i="2"/>
  <c r="G18" i="2"/>
  <c r="H18" i="2" s="1"/>
  <c r="F18" i="2"/>
  <c r="D18" i="2"/>
  <c r="E18" i="2" s="1"/>
  <c r="AC17" i="2"/>
  <c r="AA17" i="2"/>
  <c r="Y17" i="2"/>
  <c r="W17" i="2"/>
  <c r="G17" i="2"/>
  <c r="H17" i="2" s="1"/>
  <c r="F17" i="2"/>
  <c r="D17" i="2"/>
  <c r="E17" i="2" s="1"/>
  <c r="AC16" i="2"/>
  <c r="AA16" i="2"/>
  <c r="Y16" i="2"/>
  <c r="W16" i="2"/>
  <c r="G16" i="2"/>
  <c r="H16" i="2" s="1"/>
  <c r="F16" i="2"/>
  <c r="D16" i="2"/>
  <c r="E16" i="2" s="1"/>
  <c r="AC15" i="2"/>
  <c r="AA15" i="2"/>
  <c r="Y15" i="2"/>
  <c r="W15" i="2"/>
  <c r="G15" i="2"/>
  <c r="H15" i="2" s="1"/>
  <c r="F15" i="2"/>
  <c r="D15" i="2"/>
  <c r="E15" i="2" s="1"/>
  <c r="AC14" i="2"/>
  <c r="AA14" i="2"/>
  <c r="Y14" i="2"/>
  <c r="W14" i="2"/>
  <c r="G14" i="2"/>
  <c r="H14" i="2" s="1"/>
  <c r="F14" i="2"/>
  <c r="D14" i="2"/>
  <c r="E14" i="2" s="1"/>
  <c r="AC13" i="2"/>
  <c r="AA13" i="2"/>
  <c r="Y13" i="2"/>
  <c r="G13" i="2"/>
  <c r="H13" i="2" s="1"/>
  <c r="F13" i="2"/>
  <c r="E13" i="2"/>
  <c r="AC12" i="2"/>
  <c r="AA12" i="2"/>
  <c r="Y12" i="2"/>
  <c r="G12" i="2"/>
  <c r="H12" i="2" s="1"/>
  <c r="F12" i="2"/>
  <c r="E12" i="2"/>
  <c r="AC11" i="2"/>
  <c r="AA11" i="2"/>
  <c r="Y11" i="2"/>
  <c r="G11" i="2"/>
  <c r="H11" i="2" s="1"/>
  <c r="F11" i="2"/>
  <c r="E11" i="2"/>
  <c r="AC10" i="2"/>
  <c r="AA10" i="2"/>
  <c r="Y10" i="2"/>
  <c r="G10" i="2"/>
  <c r="H10" i="2" s="1"/>
  <c r="F10" i="2"/>
  <c r="E10" i="2"/>
  <c r="AC9" i="2"/>
  <c r="AA9" i="2"/>
  <c r="Y9" i="2"/>
  <c r="G9" i="2"/>
  <c r="H9" i="2" s="1"/>
  <c r="F9" i="2"/>
  <c r="E9" i="2"/>
  <c r="AC8" i="2"/>
  <c r="AA8" i="2"/>
  <c r="Y8" i="2"/>
  <c r="G8" i="2"/>
  <c r="H8" i="2" s="1"/>
  <c r="F8" i="2"/>
  <c r="E8" i="2"/>
  <c r="AC7" i="2"/>
  <c r="AA7" i="2"/>
  <c r="Y7" i="2"/>
  <c r="G7" i="2"/>
  <c r="H7" i="2" s="1"/>
  <c r="F7" i="2"/>
  <c r="E7" i="2"/>
  <c r="AC6" i="2"/>
  <c r="AA6" i="2"/>
  <c r="Y6" i="2"/>
  <c r="G6" i="2"/>
  <c r="H6" i="2" s="1"/>
  <c r="F6" i="2"/>
  <c r="E6" i="2"/>
  <c r="AC5" i="2"/>
  <c r="AA5" i="2"/>
  <c r="Y5" i="2"/>
  <c r="G5" i="2"/>
  <c r="H5" i="2" s="1"/>
  <c r="F5" i="2"/>
  <c r="E5" i="2"/>
  <c r="AC4" i="2"/>
  <c r="AA4" i="2"/>
  <c r="Y4" i="2"/>
  <c r="G4" i="2"/>
  <c r="H4" i="2" s="1"/>
  <c r="F4" i="2"/>
  <c r="E4" i="2"/>
  <c r="AA3" i="2"/>
  <c r="G3" i="2"/>
  <c r="H3" i="2" s="1"/>
  <c r="F3" i="2"/>
  <c r="D3" i="2"/>
  <c r="E3" i="2" s="1"/>
  <c r="AC2" i="2"/>
  <c r="AA2" i="2"/>
  <c r="Y2" i="2"/>
  <c r="G2" i="2"/>
  <c r="H2" i="2" s="1"/>
  <c r="F2" i="2"/>
  <c r="K2" i="2" s="1"/>
  <c r="D2" i="2"/>
  <c r="E2" i="2" s="1"/>
  <c r="J26" i="2" l="1"/>
  <c r="J3" i="2"/>
  <c r="K42" i="2"/>
  <c r="K43" i="2"/>
  <c r="K44" i="2"/>
  <c r="K45" i="2"/>
  <c r="K46" i="2"/>
  <c r="AD47" i="2"/>
  <c r="K26" i="2"/>
  <c r="K3" i="2"/>
  <c r="AD46" i="2"/>
  <c r="AD54" i="2"/>
  <c r="AD42" i="2"/>
  <c r="K47" i="2"/>
  <c r="AD56" i="2"/>
  <c r="AD50" i="2"/>
  <c r="AD44" i="2"/>
  <c r="AD48" i="2"/>
  <c r="K53" i="2"/>
  <c r="AD55" i="2"/>
  <c r="AD51" i="2"/>
  <c r="AD49" i="2"/>
  <c r="AD45" i="2"/>
  <c r="AD43" i="2"/>
  <c r="AD52" i="2"/>
  <c r="AD3" i="2"/>
  <c r="K14" i="2"/>
  <c r="K36" i="2"/>
  <c r="J4" i="2" l="1"/>
  <c r="J27" i="2"/>
  <c r="J15" i="2"/>
  <c r="AD26" i="2"/>
  <c r="K4" i="2"/>
  <c r="AC3" i="2"/>
  <c r="AM3" i="2"/>
  <c r="AK3" i="2"/>
  <c r="Y3" i="2"/>
  <c r="J37" i="2"/>
  <c r="K15" i="2"/>
  <c r="J16" i="2" l="1"/>
  <c r="J5" i="2"/>
  <c r="K37" i="2"/>
  <c r="AD37" i="2"/>
  <c r="AD15" i="2"/>
  <c r="AD4" i="2"/>
  <c r="K16" i="2"/>
  <c r="K27" i="2"/>
  <c r="AD27" i="2"/>
  <c r="K5" i="2" l="1"/>
  <c r="J28" i="2"/>
  <c r="J17" i="2"/>
  <c r="J6" i="2"/>
  <c r="J38" i="2"/>
  <c r="AD5" i="2"/>
  <c r="K17" i="2"/>
  <c r="AD16" i="2"/>
  <c r="K6" i="2" l="1"/>
  <c r="J18" i="2"/>
  <c r="K38" i="2"/>
  <c r="AD38" i="2"/>
  <c r="K18" i="2"/>
  <c r="AD17" i="2"/>
  <c r="K28" i="2"/>
  <c r="AD28" i="2"/>
  <c r="J19" i="2" l="1"/>
  <c r="J29" i="2"/>
  <c r="J7" i="2"/>
  <c r="J39" i="2"/>
  <c r="AD6" i="2"/>
  <c r="AD18" i="2"/>
  <c r="AD19" i="2"/>
  <c r="K7" i="2" l="1"/>
  <c r="K39" i="2"/>
  <c r="AD39" i="2"/>
  <c r="K19" i="2"/>
  <c r="K29" i="2"/>
  <c r="AD29" i="2"/>
  <c r="J30" i="2" l="1"/>
  <c r="J20" i="2"/>
  <c r="J8" i="2"/>
  <c r="J40" i="2"/>
  <c r="AD7" i="2"/>
  <c r="K8" i="2" l="1"/>
  <c r="K40" i="2"/>
  <c r="AD40" i="2"/>
  <c r="AD20" i="2"/>
  <c r="K20" i="2"/>
  <c r="K30" i="2"/>
  <c r="AD30" i="2"/>
  <c r="J9" i="2" l="1"/>
  <c r="J31" i="2"/>
  <c r="J21" i="2"/>
  <c r="J41" i="2"/>
  <c r="AD8" i="2"/>
  <c r="K9" i="2" l="1"/>
  <c r="K41" i="2"/>
  <c r="AD41" i="2"/>
  <c r="J10" i="2" l="1"/>
  <c r="L36" i="2"/>
  <c r="AD9" i="2"/>
  <c r="K10" i="2" l="1"/>
  <c r="J13" i="2"/>
  <c r="M36" i="2"/>
  <c r="AE36" i="2"/>
  <c r="AD21" i="2"/>
  <c r="K21" i="2"/>
  <c r="K13" i="2" l="1"/>
  <c r="J22" i="2"/>
  <c r="J11" i="2"/>
  <c r="K22" i="2"/>
  <c r="AD22" i="2"/>
  <c r="K31" i="2"/>
  <c r="AD31" i="2"/>
  <c r="L37" i="2"/>
  <c r="AD10" i="2"/>
  <c r="L14" i="2" l="1"/>
  <c r="J32" i="2"/>
  <c r="K11" i="2"/>
  <c r="AD23" i="2"/>
  <c r="M37" i="2"/>
  <c r="AE37" i="2"/>
  <c r="K32" i="2" l="1"/>
  <c r="J12" i="2"/>
  <c r="K23" i="2"/>
  <c r="AD34" i="2"/>
  <c r="AD32" i="2"/>
  <c r="L38" i="2"/>
  <c r="AD11" i="2"/>
  <c r="K12" i="2" l="1"/>
  <c r="K24" i="2"/>
  <c r="J33" i="2"/>
  <c r="AD33" i="2" s="1"/>
  <c r="AD24" i="2"/>
  <c r="AD35" i="2"/>
  <c r="M14" i="2"/>
  <c r="AE14" i="2"/>
  <c r="M38" i="2"/>
  <c r="AE38" i="2"/>
  <c r="L15" i="2" l="1"/>
  <c r="L2" i="2"/>
  <c r="K33" i="2"/>
  <c r="L39" i="2"/>
  <c r="AD12" i="2"/>
  <c r="M2" i="2" l="1"/>
  <c r="L25" i="2"/>
  <c r="AE15" i="2"/>
  <c r="M15" i="2"/>
  <c r="M39" i="2"/>
  <c r="AE39" i="2"/>
  <c r="M25" i="2"/>
  <c r="AE25" i="2"/>
  <c r="L16" i="2" l="1"/>
  <c r="L3" i="2"/>
  <c r="L26" i="2"/>
  <c r="L40" i="2"/>
  <c r="AD13" i="2"/>
  <c r="M3" i="2" l="1"/>
  <c r="AE16" i="2"/>
  <c r="M16" i="2"/>
  <c r="M40" i="2"/>
  <c r="AE40" i="2"/>
  <c r="M26" i="2"/>
  <c r="AE26" i="2"/>
  <c r="L17" i="2" l="1"/>
  <c r="L4" i="2"/>
  <c r="L27" i="2"/>
  <c r="L41" i="2"/>
  <c r="AE2" i="2"/>
  <c r="AE17" i="2" l="1"/>
  <c r="M17" i="2"/>
  <c r="M41" i="2"/>
  <c r="AE41" i="2"/>
  <c r="M27" i="2"/>
  <c r="AE27" i="2"/>
  <c r="L18" i="2" l="1"/>
  <c r="L28" i="2"/>
  <c r="N36" i="2"/>
  <c r="AE3" i="2"/>
  <c r="M4" i="2"/>
  <c r="L5" i="2" l="1"/>
  <c r="M5" i="2"/>
  <c r="M18" i="2"/>
  <c r="AE18" i="2"/>
  <c r="O36" i="2"/>
  <c r="AF36" i="2"/>
  <c r="M28" i="2"/>
  <c r="AE28" i="2"/>
  <c r="L29" i="2" l="1"/>
  <c r="L6" i="2"/>
  <c r="L19" i="2"/>
  <c r="N37" i="2"/>
  <c r="M6" i="2"/>
  <c r="AE4" i="2"/>
  <c r="L7" i="2" l="1"/>
  <c r="M19" i="2"/>
  <c r="AE19" i="2"/>
  <c r="O37" i="2"/>
  <c r="AF37" i="2"/>
  <c r="M29" i="2"/>
  <c r="AE29" i="2"/>
  <c r="L30" i="2" l="1"/>
  <c r="L20" i="2"/>
  <c r="N38" i="2"/>
  <c r="AE5" i="2"/>
  <c r="M7" i="2"/>
  <c r="L8" i="2" l="1"/>
  <c r="M20" i="2"/>
  <c r="AE20" i="2"/>
  <c r="O38" i="2"/>
  <c r="AF38" i="2"/>
  <c r="M30" i="2"/>
  <c r="AE30" i="2"/>
  <c r="L31" i="2" l="1"/>
  <c r="L21" i="2"/>
  <c r="N39" i="2"/>
  <c r="AE6" i="2"/>
  <c r="M8" i="2"/>
  <c r="L9" i="2" l="1"/>
  <c r="O39" i="2"/>
  <c r="AF39" i="2"/>
  <c r="M21" i="2"/>
  <c r="AE21" i="2"/>
  <c r="L22" i="2" l="1"/>
  <c r="AE22" i="2"/>
  <c r="N40" i="2"/>
  <c r="AE7" i="2"/>
  <c r="M9" i="2"/>
  <c r="L10" i="2" l="1"/>
  <c r="M22" i="2"/>
  <c r="AE23" i="2"/>
  <c r="O40" i="2"/>
  <c r="AF40" i="2"/>
  <c r="N14" i="2" l="1"/>
  <c r="AE24" i="2"/>
  <c r="M31" i="2"/>
  <c r="AE31" i="2"/>
  <c r="N41" i="2"/>
  <c r="AE8" i="2"/>
  <c r="M10" i="2"/>
  <c r="L11" i="2" l="1"/>
  <c r="L32" i="2"/>
  <c r="M32" i="2"/>
  <c r="M11" i="2"/>
  <c r="AF14" i="2"/>
  <c r="O14" i="2"/>
  <c r="O41" i="2"/>
  <c r="AF41" i="2"/>
  <c r="N15" i="2" l="1"/>
  <c r="L12" i="2"/>
  <c r="L33" i="2"/>
  <c r="AE32" i="2"/>
  <c r="AE34" i="2"/>
  <c r="P36" i="2"/>
  <c r="AE9" i="2"/>
  <c r="M33" i="2" l="1"/>
  <c r="AE33" i="2"/>
  <c r="M12" i="2"/>
  <c r="L13" i="2"/>
  <c r="N2" i="2"/>
  <c r="AE35" i="2"/>
  <c r="AF15" i="2"/>
  <c r="O15" i="2"/>
  <c r="Q36" i="2"/>
  <c r="AG36" i="2"/>
  <c r="N16" i="2" l="1"/>
  <c r="M13" i="2"/>
  <c r="N25" i="2"/>
  <c r="O2" i="2"/>
  <c r="P37" i="2"/>
  <c r="AE10" i="2"/>
  <c r="N3" i="2" l="1"/>
  <c r="O16" i="2"/>
  <c r="AF16" i="2"/>
  <c r="Q37" i="2"/>
  <c r="AG37" i="2"/>
  <c r="O25" i="2"/>
  <c r="AF25" i="2"/>
  <c r="N17" i="2" l="1"/>
  <c r="N26" i="2"/>
  <c r="P38" i="2"/>
  <c r="AE11" i="2"/>
  <c r="AF17" i="2" l="1"/>
  <c r="O17" i="2"/>
  <c r="Q38" i="2"/>
  <c r="AG38" i="2"/>
  <c r="O26" i="2"/>
  <c r="AF26" i="2"/>
  <c r="N27" i="2" l="1"/>
  <c r="N18" i="2"/>
  <c r="P39" i="2"/>
  <c r="AE12" i="2"/>
  <c r="O18" i="2" l="1"/>
  <c r="AF18" i="2"/>
  <c r="Q39" i="2"/>
  <c r="AG39" i="2"/>
  <c r="O27" i="2"/>
  <c r="AF27" i="2"/>
  <c r="N28" i="2" l="1"/>
  <c r="N19" i="2"/>
  <c r="P40" i="2"/>
  <c r="O3" i="2"/>
  <c r="AE13" i="2"/>
  <c r="N4" i="2" l="1"/>
  <c r="O19" i="2"/>
  <c r="AF19" i="2"/>
  <c r="Q40" i="2"/>
  <c r="AG40" i="2"/>
  <c r="O28" i="2"/>
  <c r="AF28" i="2"/>
  <c r="N29" i="2" l="1"/>
  <c r="N20" i="2"/>
  <c r="P41" i="2"/>
  <c r="AF2" i="2"/>
  <c r="O20" i="2" l="1"/>
  <c r="AF20" i="2"/>
  <c r="Q41" i="2"/>
  <c r="AG41" i="2"/>
  <c r="O4" i="2"/>
  <c r="O29" i="2"/>
  <c r="AF29" i="2"/>
  <c r="N30" i="2" l="1"/>
  <c r="N5" i="2"/>
  <c r="N21" i="2"/>
  <c r="R36" i="2"/>
  <c r="AF3" i="2"/>
  <c r="S36" i="2" l="1"/>
  <c r="AH36" i="2"/>
  <c r="O5" i="2"/>
  <c r="O21" i="2"/>
  <c r="AF21" i="2"/>
  <c r="O30" i="2"/>
  <c r="AF30" i="2"/>
  <c r="N6" i="2" l="1"/>
  <c r="N22" i="2"/>
  <c r="N31" i="2"/>
  <c r="O22" i="2"/>
  <c r="AF22" i="2"/>
  <c r="R37" i="2"/>
  <c r="AF4" i="2"/>
  <c r="P14" i="2" l="1"/>
  <c r="AF23" i="2"/>
  <c r="S37" i="2"/>
  <c r="AH37" i="2"/>
  <c r="O6" i="2"/>
  <c r="N7" i="2" l="1"/>
  <c r="AF24" i="2"/>
  <c r="R38" i="2"/>
  <c r="AF5" i="2"/>
  <c r="Q14" i="2" l="1"/>
  <c r="AG14" i="2"/>
  <c r="S38" i="2"/>
  <c r="AH38" i="2"/>
  <c r="O7" i="2"/>
  <c r="N8" i="2" l="1"/>
  <c r="P15" i="2"/>
  <c r="AF31" i="2"/>
  <c r="O31" i="2"/>
  <c r="R39" i="2"/>
  <c r="AF6" i="2"/>
  <c r="N32" i="2" l="1"/>
  <c r="Q15" i="2"/>
  <c r="AG15" i="2"/>
  <c r="S39" i="2"/>
  <c r="AH39" i="2"/>
  <c r="O8" i="2"/>
  <c r="N9" i="2" l="1"/>
  <c r="P16" i="2"/>
  <c r="O32" i="2"/>
  <c r="AF34" i="2"/>
  <c r="AF32" i="2"/>
  <c r="R40" i="2"/>
  <c r="AF7" i="2"/>
  <c r="N33" i="2" l="1"/>
  <c r="AF35" i="2"/>
  <c r="Q16" i="2"/>
  <c r="AG16" i="2"/>
  <c r="S40" i="2"/>
  <c r="AH40" i="2"/>
  <c r="O9" i="2"/>
  <c r="AF33" i="2" l="1"/>
  <c r="O33" i="2"/>
  <c r="N10" i="2"/>
  <c r="P17" i="2"/>
  <c r="R41" i="2"/>
  <c r="AF8" i="2"/>
  <c r="P25" i="2" l="1"/>
  <c r="AG17" i="2"/>
  <c r="Q17" i="2"/>
  <c r="S41" i="2"/>
  <c r="AH41" i="2"/>
  <c r="O10" i="2"/>
  <c r="Q25" i="2"/>
  <c r="AG25" i="2"/>
  <c r="N11" i="2" l="1"/>
  <c r="P26" i="2"/>
  <c r="P18" i="2"/>
  <c r="O11" i="2"/>
  <c r="T36" i="2"/>
  <c r="AF9" i="2"/>
  <c r="N12" i="2" l="1"/>
  <c r="Q18" i="2"/>
  <c r="AG18" i="2"/>
  <c r="U36" i="2"/>
  <c r="AI36" i="2"/>
  <c r="Q26" i="2"/>
  <c r="AG26" i="2"/>
  <c r="O12" i="2" l="1"/>
  <c r="P27" i="2"/>
  <c r="P19" i="2"/>
  <c r="N13" i="2"/>
  <c r="P2" i="2"/>
  <c r="T37" i="2"/>
  <c r="AF10" i="2"/>
  <c r="O13" i="2" l="1"/>
  <c r="Q2" i="2"/>
  <c r="AG19" i="2"/>
  <c r="Q19" i="2"/>
  <c r="U37" i="2"/>
  <c r="AI37" i="2"/>
  <c r="Q27" i="2"/>
  <c r="AG27" i="2"/>
  <c r="P20" i="2" l="1"/>
  <c r="P3" i="2"/>
  <c r="P28" i="2"/>
  <c r="T38" i="2"/>
  <c r="AF11" i="2"/>
  <c r="Q20" i="2" l="1"/>
  <c r="AG20" i="2"/>
  <c r="U38" i="2"/>
  <c r="AI38" i="2"/>
  <c r="Q28" i="2"/>
  <c r="AG28" i="2"/>
  <c r="P29" i="2" l="1"/>
  <c r="P21" i="2"/>
  <c r="T39" i="2"/>
  <c r="AF12" i="2"/>
  <c r="U39" i="2" l="1"/>
  <c r="AI39" i="2"/>
  <c r="AG21" i="2"/>
  <c r="Q21" i="2"/>
  <c r="Q29" i="2"/>
  <c r="AG29" i="2"/>
  <c r="P22" i="2" l="1"/>
  <c r="P30" i="2"/>
  <c r="Q22" i="2"/>
  <c r="T40" i="2"/>
  <c r="Q3" i="2"/>
  <c r="AF13" i="2"/>
  <c r="R14" i="2" l="1"/>
  <c r="P4" i="2"/>
  <c r="AG22" i="2"/>
  <c r="AG23" i="2"/>
  <c r="U40" i="2"/>
  <c r="AI40" i="2"/>
  <c r="Q30" i="2"/>
  <c r="AG30" i="2"/>
  <c r="P31" i="2" l="1"/>
  <c r="AG24" i="2"/>
  <c r="T41" i="2"/>
  <c r="AG2" i="2"/>
  <c r="AH14" i="2" l="1"/>
  <c r="S14" i="2"/>
  <c r="U41" i="2"/>
  <c r="AI41" i="2"/>
  <c r="Q4" i="2"/>
  <c r="R15" i="2" l="1"/>
  <c r="P5" i="2"/>
  <c r="AG3" i="2"/>
  <c r="S15" i="2" l="1"/>
  <c r="AH15" i="2"/>
  <c r="Q5" i="2"/>
  <c r="P6" i="2" l="1"/>
  <c r="R16" i="2"/>
  <c r="AG31" i="2"/>
  <c r="Q31" i="2"/>
  <c r="AG4" i="2"/>
  <c r="P32" i="2" l="1"/>
  <c r="S16" i="2"/>
  <c r="AH16" i="2"/>
  <c r="Q6" i="2"/>
  <c r="R17" i="2" l="1"/>
  <c r="Q32" i="2"/>
  <c r="P7" i="2"/>
  <c r="AG32" i="2"/>
  <c r="AG34" i="2"/>
  <c r="AG5" i="2"/>
  <c r="P33" i="2" l="1"/>
  <c r="AG35" i="2"/>
  <c r="S17" i="2"/>
  <c r="AH17" i="2"/>
  <c r="Q7" i="2"/>
  <c r="R18" i="2" l="1"/>
  <c r="P8" i="2"/>
  <c r="Q33" i="2"/>
  <c r="AG33" i="2"/>
  <c r="AG6" i="2"/>
  <c r="R25" i="2" l="1"/>
  <c r="S18" i="2"/>
  <c r="AH18" i="2"/>
  <c r="Q8" i="2"/>
  <c r="P9" i="2" l="1"/>
  <c r="R19" i="2"/>
  <c r="AH25" i="2"/>
  <c r="S25" i="2"/>
  <c r="AG7" i="2"/>
  <c r="R26" i="2" l="1"/>
  <c r="S19" i="2"/>
  <c r="AH19" i="2"/>
  <c r="Q9" i="2"/>
  <c r="P10" i="2" l="1"/>
  <c r="R20" i="2"/>
  <c r="AH26" i="2"/>
  <c r="S26" i="2"/>
  <c r="AG8" i="2"/>
  <c r="R27" i="2" l="1"/>
  <c r="S20" i="2"/>
  <c r="AH20" i="2"/>
  <c r="Q10" i="2"/>
  <c r="AH27" i="2" l="1"/>
  <c r="R21" i="2"/>
  <c r="P11" i="2"/>
  <c r="S27" i="2"/>
  <c r="AG9" i="2"/>
  <c r="Q11" i="2" l="1"/>
  <c r="R28" i="2"/>
  <c r="S21" i="2"/>
  <c r="AH21" i="2"/>
  <c r="S28" i="2" l="1"/>
  <c r="AH28" i="2"/>
  <c r="R22" i="2"/>
  <c r="P12" i="2"/>
  <c r="P13" i="2"/>
  <c r="AG10" i="2"/>
  <c r="S22" i="2" l="1"/>
  <c r="Q13" i="2"/>
  <c r="AH22" i="2"/>
  <c r="Q12" i="2"/>
  <c r="R29" i="2"/>
  <c r="AH23" i="2"/>
  <c r="AH29" i="2" l="1"/>
  <c r="S29" i="2"/>
  <c r="R2" i="2"/>
  <c r="T14" i="2"/>
  <c r="AH24" i="2"/>
  <c r="AG11" i="2"/>
  <c r="S2" i="2" l="1"/>
  <c r="R30" i="2"/>
  <c r="U14" i="2"/>
  <c r="AI14" i="2"/>
  <c r="S30" i="2"/>
  <c r="AH30" i="2"/>
  <c r="T15" i="2" l="1"/>
  <c r="R31" i="2"/>
  <c r="R3" i="2"/>
  <c r="AG12" i="2"/>
  <c r="U15" i="2" l="1"/>
  <c r="AI15" i="2"/>
  <c r="T16" i="2" l="1"/>
  <c r="AG13" i="2"/>
  <c r="S3" i="2"/>
  <c r="R4" i="2" l="1"/>
  <c r="AI16" i="2"/>
  <c r="U16" i="2"/>
  <c r="T17" i="2" l="1"/>
  <c r="AH31" i="2"/>
  <c r="S31" i="2"/>
  <c r="AH2" i="2"/>
  <c r="R32" i="2" l="1"/>
  <c r="U17" i="2"/>
  <c r="AI17" i="2"/>
  <c r="S4" i="2"/>
  <c r="T18" i="2" l="1"/>
  <c r="S32" i="2"/>
  <c r="R5" i="2"/>
  <c r="AH34" i="2"/>
  <c r="AH32" i="2"/>
  <c r="AH3" i="2"/>
  <c r="R33" i="2" l="1"/>
  <c r="AH33" i="2"/>
  <c r="AH35" i="2"/>
  <c r="U18" i="2"/>
  <c r="AI18" i="2"/>
  <c r="S5" i="2"/>
  <c r="S33" i="2" l="1"/>
  <c r="R6" i="2"/>
  <c r="T19" i="2"/>
  <c r="AH4" i="2"/>
  <c r="T25" i="2" l="1"/>
  <c r="U19" i="2"/>
  <c r="AI19" i="2"/>
  <c r="S6" i="2"/>
  <c r="R7" i="2" l="1"/>
  <c r="AI25" i="2"/>
  <c r="T20" i="2"/>
  <c r="U25" i="2"/>
  <c r="AH5" i="2"/>
  <c r="T26" i="2" l="1"/>
  <c r="U20" i="2"/>
  <c r="AI20" i="2"/>
  <c r="S7" i="2"/>
  <c r="AI26" i="2" l="1"/>
  <c r="T21" i="2"/>
  <c r="R8" i="2"/>
  <c r="U26" i="2"/>
  <c r="AH6" i="2"/>
  <c r="T27" i="2" l="1"/>
  <c r="AI21" i="2"/>
  <c r="U21" i="2"/>
  <c r="S8" i="2"/>
  <c r="U27" i="2" l="1"/>
  <c r="R9" i="2"/>
  <c r="T22" i="2"/>
  <c r="AI27" i="2"/>
  <c r="AH7" i="2"/>
  <c r="AI22" i="2" l="1"/>
  <c r="U22" i="2"/>
  <c r="T28" i="2"/>
  <c r="AI23" i="2"/>
  <c r="AI28" i="2"/>
  <c r="U28" i="2"/>
  <c r="S9" i="2"/>
  <c r="R10" i="2" l="1"/>
  <c r="T29" i="2"/>
  <c r="AI24" i="2"/>
  <c r="AH8" i="2"/>
  <c r="AI29" i="2" l="1"/>
  <c r="U29" i="2"/>
  <c r="S10" i="2"/>
  <c r="T30" i="2" l="1"/>
  <c r="R11" i="2"/>
  <c r="AH9" i="2"/>
  <c r="S11" i="2" l="1"/>
  <c r="AI30" i="2"/>
  <c r="U30" i="2"/>
  <c r="R12" i="2" l="1"/>
  <c r="T31" i="2"/>
  <c r="R13" i="2"/>
  <c r="U31" i="2"/>
  <c r="AH10" i="2"/>
  <c r="S13" i="2" l="1"/>
  <c r="S12" i="2"/>
  <c r="AI31" i="2"/>
  <c r="T32" i="2"/>
  <c r="U32" i="2" l="1"/>
  <c r="T2" i="2"/>
  <c r="AI34" i="2"/>
  <c r="AI32" i="2"/>
  <c r="AH11" i="2"/>
  <c r="T33" i="2" l="1"/>
  <c r="U2" i="2"/>
  <c r="AI35" i="2"/>
  <c r="U33" i="2" l="1"/>
  <c r="AI33" i="2"/>
  <c r="T3" i="2"/>
  <c r="AH12" i="2"/>
  <c r="U3" i="2" l="1"/>
  <c r="AH13" i="2"/>
  <c r="T4" i="2" l="1"/>
  <c r="AI2" i="2"/>
  <c r="U4" i="2" l="1"/>
  <c r="T5" i="2" l="1"/>
  <c r="AI3" i="2"/>
  <c r="U5" i="2" l="1"/>
  <c r="T6" i="2" l="1"/>
  <c r="AI4" i="2"/>
  <c r="U6" i="2" l="1"/>
  <c r="T7" i="2" l="1"/>
  <c r="AI5" i="2"/>
  <c r="U7" i="2" l="1"/>
  <c r="T8" i="2" l="1"/>
  <c r="AI6" i="2"/>
  <c r="U8" i="2" l="1"/>
  <c r="T9" i="2" l="1"/>
  <c r="AI7" i="2"/>
  <c r="U9" i="2" l="1"/>
  <c r="T10" i="2" l="1"/>
  <c r="AI8" i="2"/>
  <c r="U10" i="2" l="1"/>
  <c r="T11" i="2" l="1"/>
  <c r="AI9" i="2"/>
  <c r="U11" i="2" l="1"/>
  <c r="T12" i="2" l="1"/>
  <c r="AI10" i="2"/>
  <c r="U12" i="2" l="1"/>
  <c r="AI11" i="2"/>
  <c r="T13" i="2" l="1"/>
  <c r="AI12" i="2"/>
  <c r="U13" i="2" l="1"/>
  <c r="AI13" i="2"/>
  <c r="AJ2" i="2" l="1"/>
  <c r="AJ3" i="2" l="1"/>
  <c r="AJ4" i="2" l="1"/>
  <c r="AJ5" i="2" l="1"/>
  <c r="AJ6" i="2" l="1"/>
  <c r="AJ7" i="2" l="1"/>
  <c r="AJ8" i="2" l="1"/>
  <c r="AJ9" i="2" l="1"/>
  <c r="AJ10" i="2" l="1"/>
  <c r="AJ11" i="2" l="1"/>
  <c r="AJ12" i="2" l="1"/>
  <c r="AJ13" i="2" l="1"/>
</calcChain>
</file>

<file path=xl/sharedStrings.xml><?xml version="1.0" encoding="utf-8"?>
<sst xmlns="http://schemas.openxmlformats.org/spreadsheetml/2006/main" count="349" uniqueCount="131">
  <si>
    <t>Zug</t>
  </si>
  <si>
    <t>Fahrt</t>
  </si>
  <si>
    <t>Route</t>
  </si>
  <si>
    <t>H-Nr</t>
  </si>
  <si>
    <t>Haltestelle</t>
  </si>
  <si>
    <t>FZ</t>
  </si>
  <si>
    <t>Ab1</t>
  </si>
  <si>
    <t>An1</t>
  </si>
  <si>
    <t>Ab2</t>
  </si>
  <si>
    <t>An2</t>
  </si>
  <si>
    <t>Ab3</t>
  </si>
  <si>
    <t>An3</t>
  </si>
  <si>
    <t>Ab4</t>
  </si>
  <si>
    <t>An4</t>
  </si>
  <si>
    <t>Ab5</t>
  </si>
  <si>
    <t>An5</t>
  </si>
  <si>
    <t>Ab6</t>
  </si>
  <si>
    <t>An6</t>
  </si>
  <si>
    <t>Ab7</t>
  </si>
  <si>
    <t>An7</t>
  </si>
  <si>
    <t>Ab8</t>
  </si>
  <si>
    <t>An8</t>
  </si>
  <si>
    <t>Ab9</t>
  </si>
  <si>
    <t>An9</t>
  </si>
  <si>
    <t>Ab10</t>
  </si>
  <si>
    <t>An10</t>
  </si>
  <si>
    <t>K-Zug</t>
  </si>
  <si>
    <t>S-Bahn</t>
  </si>
  <si>
    <t>IC</t>
  </si>
  <si>
    <t>418.12</t>
  </si>
  <si>
    <t>R-Lok</t>
  </si>
  <si>
    <t>Start</t>
  </si>
  <si>
    <t>HP-Name</t>
  </si>
  <si>
    <t>Ende</t>
  </si>
  <si>
    <t>über</t>
  </si>
  <si>
    <t>WZ in s</t>
  </si>
  <si>
    <t>Aufenthalt</t>
  </si>
  <si>
    <t>WZ Faktorzeit:</t>
  </si>
  <si>
    <t>418.11</t>
  </si>
  <si>
    <t>315.12</t>
  </si>
  <si>
    <t>315.11</t>
  </si>
  <si>
    <t>112.12</t>
  </si>
  <si>
    <t>417.11</t>
  </si>
  <si>
    <t>213.12</t>
  </si>
  <si>
    <t>417.12</t>
  </si>
  <si>
    <t>SBH Gl.3</t>
  </si>
  <si>
    <t>213.11</t>
  </si>
  <si>
    <t>Standzeit</t>
  </si>
  <si>
    <t>416.12</t>
  </si>
  <si>
    <t>111.11</t>
  </si>
  <si>
    <t>111.12</t>
  </si>
  <si>
    <t>413.12</t>
  </si>
  <si>
    <t>416.11</t>
  </si>
  <si>
    <t>413.11</t>
  </si>
  <si>
    <t>314.11</t>
  </si>
  <si>
    <t>313.11</t>
  </si>
  <si>
    <t>312.11</t>
  </si>
  <si>
    <t>H-NR</t>
  </si>
  <si>
    <t>H-Name</t>
  </si>
  <si>
    <t>Gleis-Nr</t>
  </si>
  <si>
    <t>Ri.</t>
  </si>
  <si>
    <t>Altstadt Gl.1/V</t>
  </si>
  <si>
    <t>V</t>
  </si>
  <si>
    <t>Altstadt Gl.1/N</t>
  </si>
  <si>
    <t>N</t>
  </si>
  <si>
    <t>112.11</t>
  </si>
  <si>
    <t>SBH Gl.2/V</t>
  </si>
  <si>
    <t>SBH Gl.2/N</t>
  </si>
  <si>
    <t>GBF Gl.9/V</t>
  </si>
  <si>
    <t>GBF Gl.9/N</t>
  </si>
  <si>
    <t>GBF Gl.6/V</t>
  </si>
  <si>
    <t>312.12</t>
  </si>
  <si>
    <t>GBF Gl.6/N</t>
  </si>
  <si>
    <t>GBF Gl.7/V</t>
  </si>
  <si>
    <t>313.12</t>
  </si>
  <si>
    <t>GBF Gl.7/N</t>
  </si>
  <si>
    <t>GBF Gl.8/V</t>
  </si>
  <si>
    <t>314.12</t>
  </si>
  <si>
    <t>GBF Gl.8/N</t>
  </si>
  <si>
    <t>Weisenborn Gl.1/V</t>
  </si>
  <si>
    <t>Weisenborn Gl.1/N</t>
  </si>
  <si>
    <t>Burgstein Gl.3/V</t>
  </si>
  <si>
    <t>Burgstein Gl.3/N</t>
  </si>
  <si>
    <t>Burgstein Gl.2/V</t>
  </si>
  <si>
    <t>Burgstein Gl.2/N</t>
  </si>
  <si>
    <t>Burgstein Gl.1/V</t>
  </si>
  <si>
    <t>Burgstein Gl.1/N</t>
  </si>
  <si>
    <t>AZ1</t>
  </si>
  <si>
    <t>AZ2</t>
  </si>
  <si>
    <t>AZ4</t>
  </si>
  <si>
    <t>AZ3</t>
  </si>
  <si>
    <t>AZ5</t>
  </si>
  <si>
    <t>AZ6</t>
  </si>
  <si>
    <t>AZ7</t>
  </si>
  <si>
    <t>AZ8</t>
  </si>
  <si>
    <t>AZ9</t>
  </si>
  <si>
    <t>AZ10</t>
  </si>
  <si>
    <t>514.12</t>
  </si>
  <si>
    <t>WZ in min</t>
  </si>
  <si>
    <t>Name</t>
  </si>
  <si>
    <t>Info</t>
  </si>
  <si>
    <t>Typ</t>
  </si>
  <si>
    <t>Elemente</t>
  </si>
  <si>
    <t>Einfahrt</t>
  </si>
  <si>
    <t>Abfahrt</t>
  </si>
  <si>
    <t>Aktiv</t>
  </si>
  <si>
    <t>Inaktiv</t>
  </si>
  <si>
    <t>R-Lok ABF1</t>
  </si>
  <si>
    <t>R-Lok ABF2</t>
  </si>
  <si>
    <t>R-Lok ABF3</t>
  </si>
  <si>
    <t>R-Lok ABF4</t>
  </si>
  <si>
    <t>R-Lok ABF5</t>
  </si>
  <si>
    <t>R-Lok ABF6</t>
  </si>
  <si>
    <t>311.21</t>
  </si>
  <si>
    <t>311.22</t>
  </si>
  <si>
    <t>Altena Gl.2/V</t>
  </si>
  <si>
    <t>Altena Gl.2/N</t>
  </si>
  <si>
    <t>Altena Gl.1/V</t>
  </si>
  <si>
    <t>Altena Gl.1/N</t>
  </si>
  <si>
    <t>SBH Gl.1/V</t>
  </si>
  <si>
    <t>SBH Gl.1/N</t>
  </si>
  <si>
    <t>113.12</t>
  </si>
  <si>
    <t>113.11</t>
  </si>
  <si>
    <t>114.11</t>
  </si>
  <si>
    <t>114.12</t>
  </si>
  <si>
    <t>115.11</t>
  </si>
  <si>
    <t>115.12</t>
  </si>
  <si>
    <t>Altstadt Gl.2/N</t>
  </si>
  <si>
    <t>Altstadt Gl.3/V</t>
  </si>
  <si>
    <t>Altstadt Gl.3/N</t>
  </si>
  <si>
    <t>Altstadt Gl.2/V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</si>
</sst>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h:mm;@"/>
    <numFmt numFmtId="165" formatCode="h:mm"/>
    <numFmt numFmtId="166" formatCode="h:mm;@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990033"/>
      <name val="Calibri"/>
      <family val="2"/>
      <scheme val="minor"/>
    </font>
    <font>
      <i/>
      <sz val="11"/>
      <color rgb="FF990033"/>
      <name val="Calibri"/>
      <family val="2"/>
      <scheme val="minor"/>
    </font>
    <font>
      <b/>
      <sz val="11"/>
      <color rgb="FF990033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i/>
      <sz val="11"/>
      <color theme="5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1" xfId="0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2" borderId="3" xfId="0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20" fontId="5" fillId="0" borderId="4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164" fontId="5" fillId="3" borderId="4" xfId="0" applyNumberFormat="1" applyFont="1" applyFill="1" applyBorder="1" applyAlignment="1">
      <alignment vertical="center"/>
    </xf>
    <xf numFmtId="164" fontId="7" fillId="0" borderId="4" xfId="0" applyNumberFormat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20" fontId="5" fillId="0" borderId="5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vertical="center"/>
    </xf>
    <xf numFmtId="0" fontId="2" fillId="6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20" fontId="8" fillId="0" borderId="5" xfId="0" applyNumberFormat="1" applyFont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0" fillId="0" borderId="5" xfId="0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20" fontId="0" fillId="0" borderId="5" xfId="0" applyNumberFormat="1" applyBorder="1" applyAlignment="1">
      <alignment horizontal="center" vertical="center"/>
    </xf>
    <xf numFmtId="0" fontId="0" fillId="2" borderId="0" xfId="0" applyFill="1" applyAlignment="1">
      <alignment vertical="center"/>
    </xf>
    <xf numFmtId="164" fontId="0" fillId="3" borderId="4" xfId="0" applyNumberFormat="1" applyFill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164" fontId="2" fillId="0" borderId="4" xfId="0" applyNumberFormat="1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20" fontId="11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6" xfId="0" applyFont="1" applyBorder="1" applyAlignment="1">
      <alignment horizontal="center" vertical="top"/>
    </xf>
    <xf numFmtId="0" fontId="2" fillId="0" borderId="6" xfId="0" applyFont="1" applyBorder="1" applyAlignment="1">
      <alignment horizontal="left" vertical="top"/>
    </xf>
    <xf numFmtId="0" fontId="2" fillId="0" borderId="6" xfId="0" applyFont="1" applyBorder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0" fillId="0" borderId="6" xfId="0" applyBorder="1" applyAlignment="1">
      <alignment horizontal="center"/>
    </xf>
    <xf numFmtId="0" fontId="0" fillId="0" borderId="7" xfId="0" applyBorder="1"/>
    <xf numFmtId="20" fontId="0" fillId="0" borderId="7" xfId="0" applyNumberFormat="1" applyBorder="1" applyAlignment="1">
      <alignment horizontal="center"/>
    </xf>
    <xf numFmtId="0" fontId="0" fillId="0" borderId="6" xfId="0" applyBorder="1"/>
    <xf numFmtId="20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3" xfId="0" applyBorder="1" applyAlignment="1">
      <alignment horizontal="center"/>
    </xf>
    <xf numFmtId="0" fontId="0" fillId="0" borderId="3" xfId="0" applyBorder="1"/>
    <xf numFmtId="164" fontId="2" fillId="7" borderId="5" xfId="0" applyNumberFormat="1" applyFont="1" applyFill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0" fillId="3" borderId="9" xfId="0" applyNumberFormat="1" applyFill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4" fontId="0" fillId="3" borderId="10" xfId="0" applyNumberFormat="1" applyFill="1" applyBorder="1" applyAlignment="1">
      <alignment horizontal="center" vertical="center"/>
    </xf>
    <xf numFmtId="164" fontId="1" fillId="5" borderId="11" xfId="0" applyNumberFormat="1" applyFont="1" applyFill="1" applyBorder="1" applyAlignment="1">
      <alignment horizontal="center" vertical="center"/>
    </xf>
    <xf numFmtId="164" fontId="5" fillId="3" borderId="12" xfId="0" applyNumberFormat="1" applyFont="1" applyFill="1" applyBorder="1" applyAlignment="1">
      <alignment vertical="center"/>
    </xf>
    <xf numFmtId="164" fontId="7" fillId="0" borderId="11" xfId="0" applyNumberFormat="1" applyFont="1" applyBorder="1" applyAlignment="1">
      <alignment horizontal="center" vertical="center"/>
    </xf>
    <xf numFmtId="164" fontId="0" fillId="3" borderId="12" xfId="0" applyNumberFormat="1" applyFill="1" applyBorder="1" applyAlignment="1">
      <alignment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0" fillId="3" borderId="14" xfId="0" applyNumberFormat="1" applyFill="1" applyBorder="1" applyAlignment="1">
      <alignment vertical="center"/>
    </xf>
    <xf numFmtId="164" fontId="2" fillId="0" borderId="15" xfId="0" applyNumberFormat="1" applyFont="1" applyBorder="1" applyAlignment="1">
      <alignment vertical="center"/>
    </xf>
    <xf numFmtId="164" fontId="2" fillId="0" borderId="14" xfId="0" applyNumberFormat="1" applyFont="1" applyBorder="1" applyAlignment="1">
      <alignment vertical="center"/>
    </xf>
    <xf numFmtId="164" fontId="0" fillId="3" borderId="16" xfId="0" applyNumberFormat="1" applyFill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64" fontId="2" fillId="7" borderId="11" xfId="0" applyNumberFormat="1" applyFont="1" applyFill="1" applyBorder="1" applyAlignment="1">
      <alignment horizontal="center" vertical="center"/>
    </xf>
    <xf numFmtId="164" fontId="2" fillId="7" borderId="20" xfId="0" applyNumberFormat="1" applyFont="1" applyFill="1" applyBorder="1" applyAlignment="1">
      <alignment horizontal="center" vertical="center"/>
    </xf>
    <xf numFmtId="164" fontId="2" fillId="7" borderId="13" xfId="0" applyNumberFormat="1" applyFont="1" applyFill="1" applyBorder="1" applyAlignment="1">
      <alignment horizontal="center" vertical="center"/>
    </xf>
    <xf numFmtId="164" fontId="2" fillId="7" borderId="15" xfId="0" applyNumberFormat="1" applyFont="1" applyFill="1" applyBorder="1" applyAlignment="1">
      <alignment horizontal="center" vertical="center"/>
    </xf>
    <xf numFmtId="164" fontId="2" fillId="7" borderId="21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2" fontId="0" fillId="0" borderId="0" xfId="0" applyNumberFormat="1"/>
    <xf numFmtId="165" fontId="0" fillId="0" borderId="0" xfId="0" applyNumberFormat="1"/>
    <xf numFmtId="0" fontId="2" fillId="0" borderId="0" xfId="0" applyFont="1" applyAlignment="1">
      <alignment horizontal="center" vertical="top"/>
    </xf>
    <xf numFmtId="0" fontId="2" fillId="8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3" xfId="0" applyBorder="1"/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26" xfId="0" applyBorder="1"/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0" fillId="0" borderId="26" xfId="0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166" fontId="1" fillId="5" borderId="11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vertical="center"/>
    </xf>
    <xf numFmtId="166" fontId="10" fillId="0" borderId="5" xfId="0" applyNumberFormat="1" applyFont="1" applyBorder="1" applyAlignment="1">
      <alignment vertical="center"/>
    </xf>
    <xf numFmtId="166" fontId="10" fillId="0" borderId="4" xfId="0" applyNumberFormat="1" applyFont="1" applyBorder="1" applyAlignment="1">
      <alignment vertical="center"/>
    </xf>
    <xf numFmtId="166" fontId="8" fillId="3" borderId="12" xfId="0" applyNumberFormat="1" applyFont="1" applyFill="1" applyBorder="1" applyAlignment="1">
      <alignment vertical="center"/>
    </xf>
    <xf numFmtId="166" fontId="2" fillId="7" borderId="11" xfId="0" applyNumberFormat="1" applyFont="1" applyFill="1" applyBorder="1" applyAlignment="1">
      <alignment horizontal="center" vertical="center"/>
    </xf>
    <xf numFmtId="166" fontId="2" fillId="7" borderId="5" xfId="0" applyNumberFormat="1" applyFont="1" applyFill="1" applyBorder="1" applyAlignment="1">
      <alignment horizontal="center" vertical="center"/>
    </xf>
    <xf numFmtId="166" fontId="2" fillId="7" borderId="20" xfId="0" applyNumberFormat="1" applyFont="1" applyFill="1" applyBorder="1" applyAlignment="1">
      <alignment horizontal="center" vertical="center"/>
    </xf>
    <xf numFmtId="166" fontId="10" fillId="0" borderId="11" xfId="0" applyNumberFormat="1" applyFont="1" applyBorder="1" applyAlignment="1">
      <alignment horizontal="center" vertical="center"/>
    </xf>
    <xf numFmtId="166" fontId="0" fillId="3" borderId="4" xfId="0" applyNumberFormat="1" applyFill="1" applyBorder="1" applyAlignment="1">
      <alignment vertical="center"/>
    </xf>
    <xf numFmtId="166" fontId="2" fillId="0" borderId="5" xfId="0" applyNumberFormat="1" applyFont="1" applyBorder="1" applyAlignment="1">
      <alignment vertical="center"/>
    </xf>
    <xf numFmtId="166" fontId="2" fillId="0" borderId="4" xfId="0" applyNumberFormat="1" applyFont="1" applyBorder="1" applyAlignment="1">
      <alignment vertical="center"/>
    </xf>
    <xf numFmtId="166" fontId="0" fillId="3" borderId="12" xfId="0" applyNumberFormat="1" applyFill="1" applyBorder="1" applyAlignment="1">
      <alignment vertical="center"/>
    </xf>
    <xf numFmtId="166" fontId="2" fillId="0" borderId="11" xfId="0" applyNumberFormat="1" applyFont="1" applyBorder="1" applyAlignment="1">
      <alignment horizontal="center" vertical="center"/>
    </xf>
    <xf numFmtId="166" fontId="11" fillId="3" borderId="4" xfId="0" applyNumberFormat="1" applyFont="1" applyFill="1" applyBorder="1" applyAlignment="1">
      <alignment vertical="center"/>
    </xf>
    <xf numFmtId="166" fontId="13" fillId="0" borderId="5" xfId="0" applyNumberFormat="1" applyFont="1" applyBorder="1" applyAlignment="1">
      <alignment vertical="center"/>
    </xf>
    <xf numFmtId="166" fontId="13" fillId="0" borderId="4" xfId="0" applyNumberFormat="1" applyFont="1" applyBorder="1" applyAlignment="1">
      <alignment vertical="center"/>
    </xf>
    <xf numFmtId="166" fontId="11" fillId="3" borderId="12" xfId="0" applyNumberFormat="1" applyFont="1" applyFill="1" applyBorder="1" applyAlignment="1">
      <alignment vertical="center"/>
    </xf>
    <xf numFmtId="166" fontId="13" fillId="0" borderId="11" xfId="0" applyNumberFormat="1" applyFont="1" applyBorder="1" applyAlignment="1">
      <alignment horizontal="center" vertical="center"/>
    </xf>
    <xf numFmtId="0" fontId="0" fillId="0" borderId="28" xfId="0" applyBorder="1"/>
    <xf numFmtId="166" fontId="2" fillId="0" borderId="6" xfId="0" applyNumberFormat="1" applyFont="1" applyBorder="1" applyAlignment="1">
      <alignment horizontal="center" vertical="top"/>
    </xf>
    <xf numFmtId="166" fontId="0" fillId="0" borderId="6" xfId="0" applyNumberFormat="1" applyBorder="1" applyAlignment="1">
      <alignment horizontal="center"/>
    </xf>
    <xf numFmtId="166" fontId="0" fillId="0" borderId="0" xfId="0" applyNumberFormat="1"/>
    <xf numFmtId="0" fontId="2" fillId="10" borderId="23" xfId="0" applyFont="1" applyFill="1" applyBorder="1" applyAlignment="1">
      <alignment horizontal="left" vertical="center"/>
    </xf>
    <xf numFmtId="0" fontId="2" fillId="10" borderId="26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top"/>
    </xf>
    <xf numFmtId="0" fontId="2" fillId="9" borderId="23" xfId="0" applyFont="1" applyFill="1" applyBorder="1" applyAlignment="1">
      <alignment horizontal="left" vertical="center"/>
    </xf>
    <xf numFmtId="0" fontId="2" fillId="9" borderId="26" xfId="0" applyFont="1" applyFill="1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0" borderId="23" xfId="0" applyFont="1" applyBorder="1" applyAlignment="1">
      <alignment horizontal="right" vertical="center"/>
    </xf>
    <xf numFmtId="0" fontId="2" fillId="0" borderId="26" xfId="0" applyFont="1" applyBorder="1" applyAlignment="1">
      <alignment horizontal="right" vertical="center"/>
    </xf>
    <xf numFmtId="0" fontId="2" fillId="8" borderId="0" xfId="0" applyFont="1" applyFill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</cellXfs>
  <cellStyles count="1">
    <cellStyle name="Standard" xfId="0" builtinId="0"/>
  </cellStyles>
  <dxfs count="619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ont>
        <color theme="0" tint="-4.9989318521683403E-2"/>
      </font>
      <fill>
        <patternFill>
          <bgColor rgb="FFFF0000"/>
        </patternFill>
      </fill>
    </dxf>
    <dxf>
      <font>
        <color theme="0" tint="-4.9989318521683403E-2"/>
      </font>
      <fill>
        <patternFill>
          <bgColor rgb="FFFF0000"/>
        </patternFill>
      </fill>
    </dxf>
    <dxf>
      <font>
        <color theme="0" tint="-4.9989318521683403E-2"/>
      </font>
      <fill>
        <patternFill>
          <bgColor rgb="FFFF0000"/>
        </patternFill>
      </fill>
    </dxf>
    <dxf>
      <font>
        <color theme="0" tint="-4.9989318521683403E-2"/>
      </font>
      <fill>
        <patternFill>
          <bgColor rgb="FFFF0000"/>
        </patternFill>
      </fill>
    </dxf>
    <dxf>
      <font>
        <color theme="0" tint="-4.9989318521683403E-2"/>
      </font>
      <fill>
        <patternFill>
          <bgColor rgb="FFFF0000"/>
        </patternFill>
      </fill>
    </dxf>
    <dxf>
      <font>
        <color theme="0" tint="-4.9989318521683403E-2"/>
      </font>
      <fill>
        <patternFill>
          <bgColor rgb="FFFF0000"/>
        </patternFill>
      </fill>
    </dxf>
    <dxf>
      <font>
        <color theme="0" tint="-4.9989318521683403E-2"/>
      </font>
      <fill>
        <patternFill>
          <bgColor rgb="FFFF0000"/>
        </patternFill>
      </fill>
    </dxf>
    <dxf>
      <font>
        <color theme="0" tint="-4.9989318521683403E-2"/>
      </font>
      <fill>
        <patternFill>
          <bgColor rgb="FFFF0000"/>
        </patternFill>
      </fill>
    </dxf>
    <dxf>
      <font>
        <color theme="0" tint="-4.9989318521683403E-2"/>
      </font>
      <fill>
        <patternFill>
          <bgColor rgb="FFFF0000"/>
        </patternFill>
      </fill>
    </dxf>
    <dxf>
      <font>
        <color theme="0" tint="-4.9989318521683403E-2"/>
      </font>
      <fill>
        <patternFill>
          <bgColor rgb="FFFF0000"/>
        </patternFill>
      </fill>
    </dxf>
    <dxf>
      <font>
        <color theme="0" tint="-4.9989318521683403E-2"/>
      </font>
      <fill>
        <patternFill>
          <bgColor rgb="FFFF0000"/>
        </patternFill>
      </fill>
    </dxf>
    <dxf>
      <font>
        <color theme="0" tint="-4.9989318521683403E-2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ont>
        <color theme="0" tint="-4.9989318521683403E-2"/>
      </font>
      <fill>
        <patternFill>
          <bgColor rgb="FFFF0000"/>
        </patternFill>
      </fill>
    </dxf>
    <dxf>
      <font>
        <color theme="0" tint="-4.9989318521683403E-2"/>
      </font>
      <fill>
        <patternFill>
          <bgColor rgb="FFFF0000"/>
        </patternFill>
      </fill>
    </dxf>
    <dxf>
      <font>
        <color theme="0" tint="-4.9989318521683403E-2"/>
      </font>
      <fill>
        <patternFill>
          <bgColor rgb="FFFF0000"/>
        </patternFill>
      </fill>
    </dxf>
    <dxf>
      <font>
        <color theme="0" tint="-4.9989318521683403E-2"/>
      </font>
      <fill>
        <patternFill>
          <bgColor rgb="FFFF0000"/>
        </patternFill>
      </fill>
    </dxf>
    <dxf>
      <font>
        <color theme="0" tint="-4.9989318521683403E-2"/>
      </font>
      <fill>
        <patternFill>
          <bgColor rgb="FFFF0000"/>
        </patternFill>
      </fill>
    </dxf>
    <dxf>
      <font>
        <color theme="0" tint="-4.9989318521683403E-2"/>
      </font>
      <fill>
        <patternFill>
          <bgColor rgb="FFFF0000"/>
        </patternFill>
      </fill>
    </dxf>
    <dxf>
      <font>
        <color theme="0" tint="-4.9989318521683403E-2"/>
      </font>
      <fill>
        <patternFill>
          <bgColor rgb="FFFF0000"/>
        </patternFill>
      </fill>
    </dxf>
    <dxf>
      <font>
        <color theme="0" tint="-4.9989318521683403E-2"/>
      </font>
      <fill>
        <patternFill>
          <bgColor rgb="FFFF0000"/>
        </patternFill>
      </fill>
    </dxf>
    <dxf>
      <font>
        <color theme="0" tint="-4.9989318521683403E-2"/>
      </font>
      <fill>
        <patternFill>
          <bgColor rgb="FFFF0000"/>
        </patternFill>
      </fill>
    </dxf>
    <dxf>
      <font>
        <color theme="0" tint="-4.9989318521683403E-2"/>
      </font>
      <fill>
        <patternFill>
          <bgColor rgb="FFFF0000"/>
        </patternFill>
      </fill>
    </dxf>
    <dxf>
      <font>
        <color theme="0" tint="-4.9989318521683403E-2"/>
      </font>
      <fill>
        <patternFill>
          <bgColor rgb="FFFF0000"/>
        </patternFill>
      </fill>
    </dxf>
    <dxf>
      <font>
        <color theme="0" tint="-4.9989318521683403E-2"/>
      </font>
      <fill>
        <patternFill>
          <bgColor rgb="FFFF0000"/>
        </patternFill>
      </fill>
    </dxf>
    <dxf>
      <font>
        <color theme="0" tint="-4.9989318521683403E-2"/>
      </font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ont>
        <color theme="0" tint="-4.9989318521683403E-2"/>
      </font>
      <fill>
        <patternFill>
          <bgColor rgb="FFFF0000"/>
        </patternFill>
      </fill>
    </dxf>
    <dxf>
      <font>
        <color theme="0" tint="-4.9989318521683403E-2"/>
      </font>
      <fill>
        <patternFill>
          <bgColor rgb="FFFF0000"/>
        </patternFill>
      </fill>
    </dxf>
    <dxf>
      <font>
        <color theme="0" tint="-4.9989318521683403E-2"/>
      </font>
      <fill>
        <patternFill>
          <bgColor rgb="FFFF0000"/>
        </patternFill>
      </fill>
    </dxf>
    <dxf>
      <font>
        <color theme="0" tint="-4.9989318521683403E-2"/>
      </font>
      <fill>
        <patternFill>
          <bgColor rgb="FFFF0000"/>
        </patternFill>
      </fill>
    </dxf>
    <dxf>
      <font>
        <color theme="0" tint="-4.9989318521683403E-2"/>
      </font>
      <fill>
        <patternFill>
          <bgColor rgb="FFFF0000"/>
        </patternFill>
      </fill>
    </dxf>
    <dxf>
      <font>
        <color theme="0" tint="-4.9989318521683403E-2"/>
      </font>
      <fill>
        <patternFill>
          <bgColor rgb="FFFF0000"/>
        </patternFill>
      </fill>
    </dxf>
    <dxf>
      <font>
        <color theme="0" tint="-4.9989318521683403E-2"/>
      </font>
      <fill>
        <patternFill>
          <bgColor rgb="FFFF0000"/>
        </patternFill>
      </fill>
    </dxf>
    <dxf>
      <font>
        <color theme="0" tint="-4.9989318521683403E-2"/>
      </font>
      <fill>
        <patternFill>
          <bgColor rgb="FFFF0000"/>
        </patternFill>
      </fill>
    </dxf>
    <dxf>
      <font>
        <color theme="0" tint="-4.9989318521683403E-2"/>
      </font>
      <fill>
        <patternFill>
          <bgColor rgb="FFFF0000"/>
        </patternFill>
      </fill>
    </dxf>
    <dxf>
      <font>
        <color theme="0" tint="-4.9989318521683403E-2"/>
      </font>
      <fill>
        <patternFill>
          <bgColor rgb="FFFF0000"/>
        </patternFill>
      </fill>
    </dxf>
    <dxf>
      <font>
        <color theme="0" tint="-4.9989318521683403E-2"/>
      </font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ont>
        <color theme="9" tint="-0.24994659260841701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FC474-FE6B-4C8F-B97C-1CBCDF51A0A9}">
  <sheetPr codeName="Tabelle3">
    <tabColor theme="9" tint="-0.249977111117893"/>
    <pageSetUpPr fitToPage="1"/>
  </sheetPr>
  <dimension ref="A1:AM56"/>
  <sheetViews>
    <sheetView tabSelected="1" workbookViewId="0">
      <pane ySplit="1" topLeftCell="A2" activePane="bottomLeft" state="frozen"/>
      <selection pane="bottomLeft" activeCell="A2" sqref="A2"/>
    </sheetView>
  </sheetViews>
  <sheetFormatPr baseColWidth="10" defaultRowHeight="15" x14ac:dyDescent="0.25"/>
  <cols>
    <col min="1" max="1" width="7.140625" style="7" bestFit="1" customWidth="1"/>
    <col min="2" max="2" width="7.85546875" style="41" bestFit="1" customWidth="1"/>
    <col min="3" max="3" width="8.5703125" style="42" bestFit="1" customWidth="1"/>
    <col min="4" max="4" width="7.42578125" style="42" bestFit="1" customWidth="1"/>
    <col min="5" max="5" width="22.140625" style="7" bestFit="1" customWidth="1"/>
    <col min="6" max="6" width="5.5703125" style="43" customWidth="1"/>
    <col min="7" max="7" width="7.42578125" style="42" bestFit="1" customWidth="1"/>
    <col min="8" max="8" width="22.140625" style="7" bestFit="1" customWidth="1"/>
    <col min="9" max="9" width="0.42578125" style="7" customWidth="1"/>
    <col min="10" max="10" width="5.5703125" style="44" customWidth="1"/>
    <col min="11" max="11" width="5.5703125" style="45" customWidth="1"/>
    <col min="12" max="12" width="5.5703125" style="46" customWidth="1"/>
    <col min="13" max="13" width="5.5703125" style="45" customWidth="1"/>
    <col min="14" max="14" width="5.5703125" style="46" customWidth="1"/>
    <col min="15" max="15" width="5.5703125" style="45" customWidth="1"/>
    <col min="16" max="16" width="5.5703125" style="46" customWidth="1"/>
    <col min="17" max="17" width="5.5703125" style="45" customWidth="1"/>
    <col min="18" max="18" width="5.5703125" style="46" customWidth="1"/>
    <col min="19" max="19" width="5.5703125" style="45" customWidth="1"/>
    <col min="20" max="20" width="5.5703125" style="46" customWidth="1"/>
    <col min="21" max="21" width="5.5703125" style="45" customWidth="1"/>
    <col min="22" max="22" width="5.5703125" style="46" customWidth="1"/>
    <col min="23" max="23" width="5.5703125" style="45" customWidth="1"/>
    <col min="24" max="24" width="5.5703125" style="46" customWidth="1"/>
    <col min="25" max="25" width="5.5703125" style="45" customWidth="1"/>
    <col min="26" max="26" width="5.5703125" style="46" customWidth="1"/>
    <col min="27" max="27" width="5.5703125" style="45" customWidth="1"/>
    <col min="28" max="28" width="5.5703125" style="46" customWidth="1"/>
    <col min="29" max="29" width="5.5703125" style="45" customWidth="1"/>
    <col min="30" max="31" width="5.5703125" style="43" bestFit="1" customWidth="1"/>
    <col min="32" max="39" width="5.5703125" style="7" customWidth="1"/>
    <col min="40" max="16384" width="11.42578125" style="7"/>
  </cols>
  <sheetData>
    <row r="1" spans="1:39" x14ac:dyDescent="0.25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5" t="s">
        <v>5</v>
      </c>
      <c r="G1" s="3" t="s">
        <v>3</v>
      </c>
      <c r="H1" s="4" t="s">
        <v>4</v>
      </c>
      <c r="I1" s="6"/>
      <c r="J1" s="63" t="s">
        <v>6</v>
      </c>
      <c r="K1" s="64" t="s">
        <v>7</v>
      </c>
      <c r="L1" s="65" t="s">
        <v>8</v>
      </c>
      <c r="M1" s="64" t="s">
        <v>9</v>
      </c>
      <c r="N1" s="65" t="s">
        <v>10</v>
      </c>
      <c r="O1" s="64" t="s">
        <v>11</v>
      </c>
      <c r="P1" s="65" t="s">
        <v>12</v>
      </c>
      <c r="Q1" s="64" t="s">
        <v>13</v>
      </c>
      <c r="R1" s="65" t="s">
        <v>14</v>
      </c>
      <c r="S1" s="64" t="s">
        <v>15</v>
      </c>
      <c r="T1" s="65" t="s">
        <v>16</v>
      </c>
      <c r="U1" s="64" t="s">
        <v>17</v>
      </c>
      <c r="V1" s="65" t="s">
        <v>18</v>
      </c>
      <c r="W1" s="64" t="s">
        <v>19</v>
      </c>
      <c r="X1" s="65" t="s">
        <v>20</v>
      </c>
      <c r="Y1" s="64" t="s">
        <v>21</v>
      </c>
      <c r="Z1" s="65" t="s">
        <v>22</v>
      </c>
      <c r="AA1" s="64" t="s">
        <v>23</v>
      </c>
      <c r="AB1" s="65" t="s">
        <v>24</v>
      </c>
      <c r="AC1" s="66" t="s">
        <v>25</v>
      </c>
      <c r="AD1" s="77" t="s">
        <v>87</v>
      </c>
      <c r="AE1" s="78" t="s">
        <v>88</v>
      </c>
      <c r="AF1" s="78" t="s">
        <v>90</v>
      </c>
      <c r="AG1" s="78" t="s">
        <v>89</v>
      </c>
      <c r="AH1" s="78" t="s">
        <v>91</v>
      </c>
      <c r="AI1" s="78" t="s">
        <v>92</v>
      </c>
      <c r="AJ1" s="78" t="s">
        <v>93</v>
      </c>
      <c r="AK1" s="78" t="s">
        <v>94</v>
      </c>
      <c r="AL1" s="78" t="s">
        <v>95</v>
      </c>
      <c r="AM1" s="79" t="s">
        <v>96</v>
      </c>
    </row>
    <row r="2" spans="1:39" x14ac:dyDescent="0.25">
      <c r="A2" s="8" t="s">
        <v>26</v>
      </c>
      <c r="B2" s="9">
        <v>1</v>
      </c>
      <c r="C2" s="10">
        <v>1</v>
      </c>
      <c r="D2" s="11" t="str">
        <f>IF($C2="","",VLOOKUP($C2,'K-Zug-Routen'!$A:$F,2))</f>
        <v>416.12</v>
      </c>
      <c r="E2" s="8" t="str">
        <f>IF($C2="","",VLOOKUP(D2,Haltestellen!$A:$C,2))</f>
        <v>Burgstein Gl.3/N</v>
      </c>
      <c r="F2" s="12">
        <f>IF($C2="","",VLOOKUP($C2,'K-Zug-Routen'!$A:$F,6))</f>
        <v>6.2500000000000003E-3</v>
      </c>
      <c r="G2" s="10" t="str">
        <f>IF($C2="","",VLOOKUP($C2,'K-Zug-Routen'!$A:$F,4))</f>
        <v>111.11</v>
      </c>
      <c r="H2" s="8" t="str">
        <f>IF($C2="","",VLOOKUP(G2,Haltestellen!$A:$C,2))</f>
        <v>Altstadt Gl.1/V</v>
      </c>
      <c r="I2" s="13"/>
      <c r="J2" s="67">
        <v>0.21527777777777801</v>
      </c>
      <c r="K2" s="14">
        <f>IF(J2="","",J2+$F2)</f>
        <v>0.22152777777777799</v>
      </c>
      <c r="L2" s="15">
        <f>IF($C2="","",K12+VLOOKUP($C12,'K-Zug-Routen'!$A:$J,9)+'K-Zug-Routen'!$H$2)</f>
        <v>0.38194444444444098</v>
      </c>
      <c r="M2" s="14">
        <f>IF(L2="","",L2+$F2)</f>
        <v>0.38819444444444101</v>
      </c>
      <c r="N2" s="15">
        <f>IF($C2="","",M12+VLOOKUP($C12,'K-Zug-Routen'!$A:$J,9)+'K-Zug-Routen'!$H$2)</f>
        <v>0.54861111111110406</v>
      </c>
      <c r="O2" s="14">
        <f>IF(N2="","",N2+$F2)</f>
        <v>0.55486111111110403</v>
      </c>
      <c r="P2" s="15">
        <f>IF($C2="","",O12+VLOOKUP($C12,'K-Zug-Routen'!$A:$J,9)+'K-Zug-Routen'!$H$2)</f>
        <v>0.71527777777776702</v>
      </c>
      <c r="Q2" s="14">
        <f>IF(P2="","",P2+$F2)</f>
        <v>0.721527777777767</v>
      </c>
      <c r="R2" s="15">
        <f>IF($C2="","",Q12+VLOOKUP($C12,'K-Zug-Routen'!$A:$J,9)+'K-Zug-Routen'!$H$2)</f>
        <v>0.88194444444442999</v>
      </c>
      <c r="S2" s="14">
        <f>IF(R2="","",R2+$F2)</f>
        <v>0.88819444444442996</v>
      </c>
      <c r="T2" s="15">
        <f>IF($C2="","",S12+VLOOKUP($C12,'K-Zug-Routen'!$A:$J,9)+'K-Zug-Routen'!$H$2)</f>
        <v>1.0486111111110901</v>
      </c>
      <c r="U2" s="14">
        <f>IF(T2="","",T2+$F2)</f>
        <v>1.0548611111110899</v>
      </c>
      <c r="V2" s="15"/>
      <c r="W2" s="14" t="str">
        <f>IF(V2="","",V2+$F2)</f>
        <v/>
      </c>
      <c r="X2" s="15"/>
      <c r="Y2" s="14" t="str">
        <f>IF(X2="","",X2+$F2)</f>
        <v/>
      </c>
      <c r="Z2" s="15"/>
      <c r="AA2" s="14" t="str">
        <f>IF(Z2="","",Z2+$F2)</f>
        <v/>
      </c>
      <c r="AB2" s="15"/>
      <c r="AC2" s="68" t="str">
        <f>IF(AB2="","",AB2+$F2)</f>
        <v/>
      </c>
      <c r="AD2" s="80">
        <f>IF(J2="","",J2)</f>
        <v>0.21527777777777801</v>
      </c>
      <c r="AE2" s="62">
        <f>IF(L2="","",L2)</f>
        <v>0.38194444444444098</v>
      </c>
      <c r="AF2" s="62">
        <f>IF(N2="","",N2)</f>
        <v>0.54861111111110406</v>
      </c>
      <c r="AG2" s="62">
        <f>IF(P2="","",P2)</f>
        <v>0.71527777777776702</v>
      </c>
      <c r="AH2" s="62">
        <f>IF(R2="","",R2)</f>
        <v>0.88194444444442999</v>
      </c>
      <c r="AI2" s="62">
        <f>IF(T2="","",T2)</f>
        <v>1.0486111111110901</v>
      </c>
      <c r="AJ2" s="62" t="str">
        <f>IF(V2="","",V2)</f>
        <v/>
      </c>
      <c r="AK2" s="62" t="str">
        <f>IF(X2="","",X2)</f>
        <v/>
      </c>
      <c r="AL2" s="62" t="str">
        <f>IF(Z2="","",Z2)</f>
        <v/>
      </c>
      <c r="AM2" s="81" t="str">
        <f>IF(AB2="","",AB2)</f>
        <v/>
      </c>
    </row>
    <row r="3" spans="1:39" x14ac:dyDescent="0.25">
      <c r="A3" s="16" t="s">
        <v>26</v>
      </c>
      <c r="B3" s="9">
        <v>2</v>
      </c>
      <c r="C3" s="17">
        <v>2</v>
      </c>
      <c r="D3" s="18" t="str">
        <f>IF($C3="","",VLOOKUP($C3,'K-Zug-Routen'!$A:$F,2))</f>
        <v>111.11</v>
      </c>
      <c r="E3" s="16" t="str">
        <f>IF($C3="","",VLOOKUP(D3,Haltestellen!$A:$C,2))</f>
        <v>Altstadt Gl.1/V</v>
      </c>
      <c r="F3" s="19">
        <f>IF($C3="","",VLOOKUP($C3,'K-Zug-Routen'!$A:$F,6))</f>
        <v>4.8611111111111103E-3</v>
      </c>
      <c r="G3" s="17" t="str">
        <f>IF($C3="","",VLOOKUP($C3,'K-Zug-Routen'!$A:$F,4))</f>
        <v>111.12</v>
      </c>
      <c r="H3" s="16" t="str">
        <f>IF($C3="","",VLOOKUP(G3,Haltestellen!$A:$C,2))</f>
        <v>Altstadt Gl.1/N</v>
      </c>
      <c r="I3" s="13"/>
      <c r="J3" s="69">
        <f>IF($C3="","",K2+VLOOKUP($C2,'K-Zug-Routen'!$A:$J,9))</f>
        <v>0.22986111111111099</v>
      </c>
      <c r="K3" s="14">
        <f t="shared" ref="K3:K13" si="0">IF(J3="","",J3+$F3)</f>
        <v>0.234722222222222</v>
      </c>
      <c r="L3" s="15">
        <f>IF($C3="","",M2+VLOOKUP($C2,'K-Zug-Routen'!$A:$J,9))</f>
        <v>0.39652777777777398</v>
      </c>
      <c r="M3" s="14">
        <f t="shared" ref="M3:M13" si="1">IF(L3="","",L3+$F3)</f>
        <v>0.40138888888888502</v>
      </c>
      <c r="N3" s="20">
        <f>IF($C3="","",O2+VLOOKUP($C2,'K-Zug-Routen'!$A:$J,9))</f>
        <v>0.563194444444437</v>
      </c>
      <c r="O3" s="14">
        <f t="shared" ref="O3:O13" si="2">IF(N3="","",N3+$F3)</f>
        <v>0.56805555555554799</v>
      </c>
      <c r="P3" s="20">
        <f>IF($C3="","",Q2+VLOOKUP($C2,'K-Zug-Routen'!$A:$J,9))</f>
        <v>0.72986111111109997</v>
      </c>
      <c r="Q3" s="14">
        <f t="shared" ref="Q3:Q13" si="3">IF(P3="","",P3+$F3)</f>
        <v>0.73472222222221095</v>
      </c>
      <c r="R3" s="15">
        <f>IF($C3="","",S2+VLOOKUP($C2,'K-Zug-Routen'!$A:$J,9))</f>
        <v>0.89652777777776305</v>
      </c>
      <c r="S3" s="14">
        <f t="shared" ref="S3:S13" si="4">IF(R3="","",R3+$F3)</f>
        <v>0.90138888888887403</v>
      </c>
      <c r="T3" s="15">
        <f>IF($C3="","",U2+VLOOKUP($C2,'K-Zug-Routen'!$A:$J,9))</f>
        <v>1.0631944444444199</v>
      </c>
      <c r="U3" s="14">
        <f t="shared" ref="U3:U13" si="5">IF(T3="","",T3+$F3)</f>
        <v>1.06805555555553</v>
      </c>
      <c r="V3" s="15"/>
      <c r="W3" s="14" t="str">
        <f t="shared" ref="W3:W13" si="6">IF(V3="","",V3+$F3)</f>
        <v/>
      </c>
      <c r="X3" s="15"/>
      <c r="Y3" s="14" t="str">
        <f t="shared" ref="Y3:Y56" si="7">IF(X3="","",X3+$F3)</f>
        <v/>
      </c>
      <c r="Z3" s="15"/>
      <c r="AA3" s="14" t="str">
        <f t="shared" ref="AA3:AA56" si="8">IF(Z3="","",Z3+$F3)</f>
        <v/>
      </c>
      <c r="AB3" s="15"/>
      <c r="AC3" s="68" t="str">
        <f t="shared" ref="AC3:AC56" si="9">IF(AB3="","",AB3+$F3)</f>
        <v/>
      </c>
      <c r="AD3" s="80">
        <f t="shared" ref="AD3:AD56" si="10">IF(J3="","",J3)</f>
        <v>0.22986111111111099</v>
      </c>
      <c r="AE3" s="62">
        <f t="shared" ref="AE3:AE56" si="11">IF(L3="","",L3)</f>
        <v>0.39652777777777398</v>
      </c>
      <c r="AF3" s="62">
        <f t="shared" ref="AF3:AF56" si="12">IF(N3="","",N3)</f>
        <v>0.563194444444437</v>
      </c>
      <c r="AG3" s="62">
        <f t="shared" ref="AG3:AG56" si="13">IF(P3="","",P3)</f>
        <v>0.72986111111109997</v>
      </c>
      <c r="AH3" s="62">
        <f t="shared" ref="AH3:AH56" si="14">IF(R3="","",R3)</f>
        <v>0.89652777777776305</v>
      </c>
      <c r="AI3" s="62">
        <f t="shared" ref="AI3:AI56" si="15">IF(T3="","",T3)</f>
        <v>1.0631944444444199</v>
      </c>
      <c r="AJ3" s="62" t="str">
        <f t="shared" ref="AJ3:AJ56" si="16">IF(V3="","",V3)</f>
        <v/>
      </c>
      <c r="AK3" s="62" t="str">
        <f t="shared" ref="AK3:AK56" si="17">IF(X3="","",X3)</f>
        <v/>
      </c>
      <c r="AL3" s="62" t="str">
        <f t="shared" ref="AL3:AL56" si="18">IF(Z3="","",Z3)</f>
        <v/>
      </c>
      <c r="AM3" s="81" t="str">
        <f t="shared" ref="AM3:AM56" si="19">IF(AB3="","",AB3)</f>
        <v/>
      </c>
    </row>
    <row r="4" spans="1:39" x14ac:dyDescent="0.25">
      <c r="A4" s="16" t="s">
        <v>26</v>
      </c>
      <c r="B4" s="9">
        <v>3</v>
      </c>
      <c r="C4" s="17">
        <v>3</v>
      </c>
      <c r="D4" s="18" t="str">
        <f>IF($C4="","",VLOOKUP($C4,'K-Zug-Routen'!$A:$F,2))</f>
        <v>111.12</v>
      </c>
      <c r="E4" s="16" t="str">
        <f>IF($C4="","",VLOOKUP(D4,Haltestellen!$A:$C,2))</f>
        <v>Altstadt Gl.1/N</v>
      </c>
      <c r="F4" s="19">
        <f>IF($C4="","",VLOOKUP($C4,'K-Zug-Routen'!$A:$F,6))</f>
        <v>6.9444444444444397E-3</v>
      </c>
      <c r="G4" s="17" t="str">
        <f>IF($C4="","",VLOOKUP($C4,'K-Zug-Routen'!$A:$F,4))</f>
        <v>413.12</v>
      </c>
      <c r="H4" s="16" t="str">
        <f>IF($C4="","",VLOOKUP(G4,Haltestellen!$A:$C,2))</f>
        <v>Weisenborn Gl.1/N</v>
      </c>
      <c r="I4" s="13"/>
      <c r="J4" s="69">
        <f>IF($C4="","",K3+VLOOKUP($C3,'K-Zug-Routen'!$A:$J,9))</f>
        <v>0.243055555555555</v>
      </c>
      <c r="K4" s="14">
        <f t="shared" si="0"/>
        <v>0.249999999999999</v>
      </c>
      <c r="L4" s="15">
        <f>IF($C4="","",M3+VLOOKUP($C3,'K-Zug-Routen'!$A:$J,9))</f>
        <v>0.40972222222221799</v>
      </c>
      <c r="M4" s="14">
        <f t="shared" si="1"/>
        <v>0.41666666666666202</v>
      </c>
      <c r="N4" s="20">
        <f>IF($C4="","",O3+VLOOKUP($C3,'K-Zug-Routen'!$A:$J,9))</f>
        <v>0.57638888888888096</v>
      </c>
      <c r="O4" s="14">
        <f t="shared" si="2"/>
        <v>0.58333333333332504</v>
      </c>
      <c r="P4" s="20">
        <f>IF($C4="","",Q3+VLOOKUP($C3,'K-Zug-Routen'!$A:$J,9))</f>
        <v>0.74305555555554403</v>
      </c>
      <c r="Q4" s="14">
        <f t="shared" si="3"/>
        <v>0.74999999999998801</v>
      </c>
      <c r="R4" s="15">
        <f>IF($C4="","",S3+VLOOKUP($C3,'K-Zug-Routen'!$A:$J,9))</f>
        <v>0.909722222222207</v>
      </c>
      <c r="S4" s="14">
        <f t="shared" si="4"/>
        <v>0.91666666666665098</v>
      </c>
      <c r="T4" s="15">
        <f>IF($C4="","",U3+VLOOKUP($C3,'K-Zug-Routen'!$A:$J,9))</f>
        <v>1.07638888888886</v>
      </c>
      <c r="U4" s="14">
        <f t="shared" si="5"/>
        <v>1.0833333333333</v>
      </c>
      <c r="V4" s="15"/>
      <c r="W4" s="14" t="str">
        <f t="shared" si="6"/>
        <v/>
      </c>
      <c r="X4" s="15"/>
      <c r="Y4" s="14" t="str">
        <f t="shared" si="7"/>
        <v/>
      </c>
      <c r="Z4" s="15"/>
      <c r="AA4" s="14" t="str">
        <f t="shared" si="8"/>
        <v/>
      </c>
      <c r="AB4" s="15"/>
      <c r="AC4" s="68" t="str">
        <f t="shared" si="9"/>
        <v/>
      </c>
      <c r="AD4" s="80">
        <f t="shared" si="10"/>
        <v>0.243055555555555</v>
      </c>
      <c r="AE4" s="62">
        <f t="shared" si="11"/>
        <v>0.40972222222221799</v>
      </c>
      <c r="AF4" s="62">
        <f t="shared" si="12"/>
        <v>0.57638888888888096</v>
      </c>
      <c r="AG4" s="62">
        <f t="shared" si="13"/>
        <v>0.74305555555554403</v>
      </c>
      <c r="AH4" s="62">
        <f t="shared" si="14"/>
        <v>0.909722222222207</v>
      </c>
      <c r="AI4" s="62">
        <f t="shared" si="15"/>
        <v>1.07638888888886</v>
      </c>
      <c r="AJ4" s="62" t="str">
        <f t="shared" si="16"/>
        <v/>
      </c>
      <c r="AK4" s="62" t="str">
        <f t="shared" si="17"/>
        <v/>
      </c>
      <c r="AL4" s="62" t="str">
        <f t="shared" si="18"/>
        <v/>
      </c>
      <c r="AM4" s="81" t="str">
        <f t="shared" si="19"/>
        <v/>
      </c>
    </row>
    <row r="5" spans="1:39" x14ac:dyDescent="0.25">
      <c r="A5" s="16" t="s">
        <v>26</v>
      </c>
      <c r="B5" s="9">
        <v>4</v>
      </c>
      <c r="C5" s="17">
        <v>4</v>
      </c>
      <c r="D5" s="18" t="str">
        <f>IF($C5="","",VLOOKUP($C5,'K-Zug-Routen'!$A:$F,2))</f>
        <v>413.12</v>
      </c>
      <c r="E5" s="16" t="str">
        <f>IF($C5="","",VLOOKUP(D5,Haltestellen!$A:$C,2))</f>
        <v>Weisenborn Gl.1/N</v>
      </c>
      <c r="F5" s="19">
        <f>IF($C5="","",VLOOKUP($C5,'K-Zug-Routen'!$A:$F,6))</f>
        <v>5.5555555555555601E-3</v>
      </c>
      <c r="G5" s="17" t="str">
        <f>IF($C5="","",VLOOKUP($C5,'K-Zug-Routen'!$A:$F,4))</f>
        <v>416.12</v>
      </c>
      <c r="H5" s="16" t="str">
        <f>IF($C5="","",VLOOKUP(G5,Haltestellen!$A:$C,2))</f>
        <v>Burgstein Gl.3/N</v>
      </c>
      <c r="I5" s="13"/>
      <c r="J5" s="69">
        <f>IF($C5="","",K4+VLOOKUP($C4,'K-Zug-Routen'!$A:$J,9))</f>
        <v>0.25347222222222099</v>
      </c>
      <c r="K5" s="14">
        <f t="shared" si="0"/>
        <v>0.25902777777777702</v>
      </c>
      <c r="L5" s="15">
        <f>IF($C5="","",M4+VLOOKUP($C4,'K-Zug-Routen'!$A:$J,9))</f>
        <v>0.42013888888888401</v>
      </c>
      <c r="M5" s="14">
        <f t="shared" si="1"/>
        <v>0.42569444444443999</v>
      </c>
      <c r="N5" s="20">
        <f>IF($C5="","",O4+VLOOKUP($C4,'K-Zug-Routen'!$A:$J,9))</f>
        <v>0.58680555555554703</v>
      </c>
      <c r="O5" s="14">
        <f t="shared" si="2"/>
        <v>0.59236111111110301</v>
      </c>
      <c r="P5" s="20">
        <f>IF($C5="","",Q4+VLOOKUP($C4,'K-Zug-Routen'!$A:$J,9))</f>
        <v>0.75347222222221</v>
      </c>
      <c r="Q5" s="14">
        <f t="shared" si="3"/>
        <v>0.75902777777776598</v>
      </c>
      <c r="R5" s="15">
        <f>IF($C5="","",S4+VLOOKUP($C4,'K-Zug-Routen'!$A:$J,9))</f>
        <v>0.92013888888887296</v>
      </c>
      <c r="S5" s="14">
        <f t="shared" si="4"/>
        <v>0.92569444444442806</v>
      </c>
      <c r="T5" s="15">
        <f>IF($C5="","",U4+VLOOKUP($C4,'K-Zug-Routen'!$A:$J,9))</f>
        <v>1.0868055555555201</v>
      </c>
      <c r="U5" s="14">
        <f t="shared" si="5"/>
        <v>1.09236111111108</v>
      </c>
      <c r="V5" s="15"/>
      <c r="W5" s="14" t="str">
        <f t="shared" si="6"/>
        <v/>
      </c>
      <c r="X5" s="15"/>
      <c r="Y5" s="14" t="str">
        <f t="shared" si="7"/>
        <v/>
      </c>
      <c r="Z5" s="15"/>
      <c r="AA5" s="14" t="str">
        <f t="shared" si="8"/>
        <v/>
      </c>
      <c r="AB5" s="15"/>
      <c r="AC5" s="68" t="str">
        <f t="shared" si="9"/>
        <v/>
      </c>
      <c r="AD5" s="80">
        <f t="shared" si="10"/>
        <v>0.25347222222222099</v>
      </c>
      <c r="AE5" s="62">
        <f t="shared" si="11"/>
        <v>0.42013888888888401</v>
      </c>
      <c r="AF5" s="62">
        <f t="shared" si="12"/>
        <v>0.58680555555554703</v>
      </c>
      <c r="AG5" s="62">
        <f t="shared" si="13"/>
        <v>0.75347222222221</v>
      </c>
      <c r="AH5" s="62">
        <f t="shared" si="14"/>
        <v>0.92013888888887296</v>
      </c>
      <c r="AI5" s="62">
        <f t="shared" si="15"/>
        <v>1.0868055555555201</v>
      </c>
      <c r="AJ5" s="62" t="str">
        <f t="shared" si="16"/>
        <v/>
      </c>
      <c r="AK5" s="62" t="str">
        <f t="shared" si="17"/>
        <v/>
      </c>
      <c r="AL5" s="62" t="str">
        <f t="shared" si="18"/>
        <v/>
      </c>
      <c r="AM5" s="81" t="str">
        <f t="shared" si="19"/>
        <v/>
      </c>
    </row>
    <row r="6" spans="1:39" x14ac:dyDescent="0.25">
      <c r="A6" s="16" t="s">
        <v>26</v>
      </c>
      <c r="B6" s="9">
        <v>5</v>
      </c>
      <c r="C6" s="17">
        <v>1</v>
      </c>
      <c r="D6" s="18" t="str">
        <f>IF($C6="","",VLOOKUP($C6,'K-Zug-Routen'!$A:$F,2))</f>
        <v>416.12</v>
      </c>
      <c r="E6" s="16" t="str">
        <f>IF($C6="","",VLOOKUP(D6,Haltestellen!$A:$C,2))</f>
        <v>Burgstein Gl.3/N</v>
      </c>
      <c r="F6" s="19">
        <f>IF($C6="","",VLOOKUP($C6,'K-Zug-Routen'!$A:$F,6))</f>
        <v>6.2500000000000003E-3</v>
      </c>
      <c r="G6" s="17" t="str">
        <f>IF($C6="","",VLOOKUP($C6,'K-Zug-Routen'!$A:$F,4))</f>
        <v>111.11</v>
      </c>
      <c r="H6" s="16" t="str">
        <f>IF($C6="","",VLOOKUP(G6,Haltestellen!$A:$C,2))</f>
        <v>Altstadt Gl.1/V</v>
      </c>
      <c r="I6" s="13"/>
      <c r="J6" s="69">
        <f>IF($C6="","",K5+VLOOKUP($C5,'K-Zug-Routen'!$A:$J,9))</f>
        <v>0.26249999999999901</v>
      </c>
      <c r="K6" s="14">
        <f t="shared" si="0"/>
        <v>0.26874999999999899</v>
      </c>
      <c r="L6" s="15">
        <f>IF($C6="","",M5+VLOOKUP($C5,'K-Zug-Routen'!$A:$J,9))</f>
        <v>0.42916666666666198</v>
      </c>
      <c r="M6" s="14">
        <f t="shared" si="1"/>
        <v>0.43541666666666201</v>
      </c>
      <c r="N6" s="20">
        <f>IF($C6="","",O5+VLOOKUP($C5,'K-Zug-Routen'!$A:$J,9))</f>
        <v>0.595833333333325</v>
      </c>
      <c r="O6" s="14">
        <f t="shared" si="2"/>
        <v>0.60208333333332498</v>
      </c>
      <c r="P6" s="20">
        <f>IF($C6="","",Q5+VLOOKUP($C5,'K-Zug-Routen'!$A:$J,9))</f>
        <v>0.76249999999998797</v>
      </c>
      <c r="Q6" s="14">
        <f t="shared" si="3"/>
        <v>0.76874999999998805</v>
      </c>
      <c r="R6" s="15">
        <f>IF($C6="","",S5+VLOOKUP($C5,'K-Zug-Routen'!$A:$J,9))</f>
        <v>0.92916666666665004</v>
      </c>
      <c r="S6" s="14">
        <f t="shared" si="4"/>
        <v>0.93541666666665002</v>
      </c>
      <c r="T6" s="15">
        <f>IF($C6="","",U5+VLOOKUP($C5,'K-Zug-Routen'!$A:$J,9))</f>
        <v>1.0958333333332999</v>
      </c>
      <c r="U6" s="14">
        <f t="shared" si="5"/>
        <v>1.1020833333333</v>
      </c>
      <c r="V6" s="15"/>
      <c r="W6" s="14" t="str">
        <f t="shared" si="6"/>
        <v/>
      </c>
      <c r="X6" s="15"/>
      <c r="Y6" s="14" t="str">
        <f t="shared" si="7"/>
        <v/>
      </c>
      <c r="Z6" s="15"/>
      <c r="AA6" s="14" t="str">
        <f t="shared" si="8"/>
        <v/>
      </c>
      <c r="AB6" s="15"/>
      <c r="AC6" s="68" t="str">
        <f t="shared" si="9"/>
        <v/>
      </c>
      <c r="AD6" s="80">
        <f t="shared" si="10"/>
        <v>0.26249999999999901</v>
      </c>
      <c r="AE6" s="62">
        <f t="shared" si="11"/>
        <v>0.42916666666666198</v>
      </c>
      <c r="AF6" s="62">
        <f t="shared" si="12"/>
        <v>0.595833333333325</v>
      </c>
      <c r="AG6" s="62">
        <f t="shared" si="13"/>
        <v>0.76249999999998797</v>
      </c>
      <c r="AH6" s="62">
        <f t="shared" si="14"/>
        <v>0.92916666666665004</v>
      </c>
      <c r="AI6" s="62">
        <f t="shared" si="15"/>
        <v>1.0958333333332999</v>
      </c>
      <c r="AJ6" s="62" t="str">
        <f t="shared" si="16"/>
        <v/>
      </c>
      <c r="AK6" s="62" t="str">
        <f t="shared" si="17"/>
        <v/>
      </c>
      <c r="AL6" s="62" t="str">
        <f t="shared" si="18"/>
        <v/>
      </c>
      <c r="AM6" s="81" t="str">
        <f t="shared" si="19"/>
        <v/>
      </c>
    </row>
    <row r="7" spans="1:39" x14ac:dyDescent="0.25">
      <c r="A7" s="16" t="s">
        <v>26</v>
      </c>
      <c r="B7" s="9">
        <v>6</v>
      </c>
      <c r="C7" s="17">
        <v>2</v>
      </c>
      <c r="D7" s="18" t="str">
        <f>IF($C7="","",VLOOKUP($C7,'K-Zug-Routen'!$A:$F,2))</f>
        <v>111.11</v>
      </c>
      <c r="E7" s="16" t="str">
        <f>IF($C7="","",VLOOKUP(D7,Haltestellen!$A:$C,2))</f>
        <v>Altstadt Gl.1/V</v>
      </c>
      <c r="F7" s="19">
        <f>IF($C7="","",VLOOKUP($C7,'K-Zug-Routen'!$A:$F,6))</f>
        <v>4.8611111111111103E-3</v>
      </c>
      <c r="G7" s="17" t="str">
        <f>IF($C7="","",VLOOKUP($C7,'K-Zug-Routen'!$A:$F,4))</f>
        <v>111.12</v>
      </c>
      <c r="H7" s="16" t="str">
        <f>IF($C7="","",VLOOKUP(G7,Haltestellen!$A:$C,2))</f>
        <v>Altstadt Gl.1/N</v>
      </c>
      <c r="I7" s="13"/>
      <c r="J7" s="69">
        <f>IF($C7="","",K6+VLOOKUP($C6,'K-Zug-Routen'!$A:$J,9))</f>
        <v>0.27708333333333202</v>
      </c>
      <c r="K7" s="14">
        <f t="shared" si="0"/>
        <v>0.281944444444443</v>
      </c>
      <c r="L7" s="15">
        <f>IF($C7="","",M6+VLOOKUP($C6,'K-Zug-Routen'!$A:$J,9))</f>
        <v>0.44374999999999498</v>
      </c>
      <c r="M7" s="14">
        <f t="shared" si="1"/>
        <v>0.44861111111110602</v>
      </c>
      <c r="N7" s="20">
        <f>IF($C7="","",O6+VLOOKUP($C6,'K-Zug-Routen'!$A:$J,9))</f>
        <v>0.61041666666665795</v>
      </c>
      <c r="O7" s="14">
        <f t="shared" si="2"/>
        <v>0.61527777777776904</v>
      </c>
      <c r="P7" s="20">
        <f>IF($C7="","",Q6+VLOOKUP($C6,'K-Zug-Routen'!$A:$J,9))</f>
        <v>0.77708333333332102</v>
      </c>
      <c r="Q7" s="14">
        <f t="shared" si="3"/>
        <v>0.78194444444443201</v>
      </c>
      <c r="R7" s="15">
        <f>IF($C7="","",S6+VLOOKUP($C6,'K-Zug-Routen'!$A:$J,9))</f>
        <v>0.94374999999998299</v>
      </c>
      <c r="S7" s="14">
        <f t="shared" si="4"/>
        <v>0.94861111111109397</v>
      </c>
      <c r="T7" s="15">
        <f>IF($C7="","",U6+VLOOKUP($C6,'K-Zug-Routen'!$A:$J,9))</f>
        <v>1.11041666666663</v>
      </c>
      <c r="U7" s="14">
        <f t="shared" si="5"/>
        <v>1.1152777777777401</v>
      </c>
      <c r="V7" s="15"/>
      <c r="W7" s="14" t="str">
        <f t="shared" si="6"/>
        <v/>
      </c>
      <c r="X7" s="15"/>
      <c r="Y7" s="14" t="str">
        <f t="shared" si="7"/>
        <v/>
      </c>
      <c r="Z7" s="15"/>
      <c r="AA7" s="14" t="str">
        <f t="shared" si="8"/>
        <v/>
      </c>
      <c r="AB7" s="15"/>
      <c r="AC7" s="68" t="str">
        <f t="shared" si="9"/>
        <v/>
      </c>
      <c r="AD7" s="80">
        <f t="shared" si="10"/>
        <v>0.27708333333333202</v>
      </c>
      <c r="AE7" s="62">
        <f t="shared" si="11"/>
        <v>0.44374999999999498</v>
      </c>
      <c r="AF7" s="62">
        <f t="shared" si="12"/>
        <v>0.61041666666665795</v>
      </c>
      <c r="AG7" s="62">
        <f t="shared" si="13"/>
        <v>0.77708333333332102</v>
      </c>
      <c r="AH7" s="62">
        <f t="shared" si="14"/>
        <v>0.94374999999998299</v>
      </c>
      <c r="AI7" s="62">
        <f t="shared" si="15"/>
        <v>1.11041666666663</v>
      </c>
      <c r="AJ7" s="62" t="str">
        <f t="shared" si="16"/>
        <v/>
      </c>
      <c r="AK7" s="62" t="str">
        <f t="shared" si="17"/>
        <v/>
      </c>
      <c r="AL7" s="62" t="str">
        <f t="shared" si="18"/>
        <v/>
      </c>
      <c r="AM7" s="81" t="str">
        <f t="shared" si="19"/>
        <v/>
      </c>
    </row>
    <row r="8" spans="1:39" x14ac:dyDescent="0.25">
      <c r="A8" s="16" t="s">
        <v>26</v>
      </c>
      <c r="B8" s="9">
        <v>7</v>
      </c>
      <c r="C8" s="17">
        <v>10</v>
      </c>
      <c r="D8" s="18" t="str">
        <f>IF($C8="","",VLOOKUP($C8,'K-Zug-Routen'!$A:$F,2))</f>
        <v>111.12</v>
      </c>
      <c r="E8" s="16" t="str">
        <f>IF($C8="","",VLOOKUP(D8,Haltestellen!$A:$C,2))</f>
        <v>Altstadt Gl.1/N</v>
      </c>
      <c r="F8" s="19">
        <f>IF($C8="","",VLOOKUP($C8,'K-Zug-Routen'!$A:$F,6))</f>
        <v>9.0277777777777804E-3</v>
      </c>
      <c r="G8" s="17" t="str">
        <f>IF($C8="","",VLOOKUP($C8,'K-Zug-Routen'!$A:$F,4))</f>
        <v>416.11</v>
      </c>
      <c r="H8" s="16" t="str">
        <f>IF($C8="","",VLOOKUP(G8,Haltestellen!$A:$C,2))</f>
        <v>Burgstein Gl.3/V</v>
      </c>
      <c r="I8" s="13"/>
      <c r="J8" s="69">
        <f>IF($C8="","",K7+VLOOKUP($C7,'K-Zug-Routen'!$A:$J,9))</f>
        <v>0.29027777777777602</v>
      </c>
      <c r="K8" s="14">
        <f t="shared" si="0"/>
        <v>0.29930555555555399</v>
      </c>
      <c r="L8" s="15">
        <f>IF($C8="","",M7+VLOOKUP($C7,'K-Zug-Routen'!$A:$J,9))</f>
        <v>0.45694444444443899</v>
      </c>
      <c r="M8" s="14">
        <f t="shared" si="1"/>
        <v>0.46597222222221701</v>
      </c>
      <c r="N8" s="20">
        <f>IF($C8="","",O7+VLOOKUP($C7,'K-Zug-Routen'!$A:$J,9))</f>
        <v>0.62361111111110201</v>
      </c>
      <c r="O8" s="14">
        <f t="shared" si="2"/>
        <v>0.63263888888887998</v>
      </c>
      <c r="P8" s="20">
        <f>IF($C8="","",Q7+VLOOKUP($C7,'K-Zug-Routen'!$A:$J,9))</f>
        <v>0.79027777777776498</v>
      </c>
      <c r="Q8" s="14">
        <f t="shared" si="3"/>
        <v>0.79930555555554295</v>
      </c>
      <c r="R8" s="15">
        <f>IF($C8="","",S7+VLOOKUP($C7,'K-Zug-Routen'!$A:$J,9))</f>
        <v>0.95694444444442694</v>
      </c>
      <c r="S8" s="14">
        <f t="shared" si="4"/>
        <v>0.96597222222220502</v>
      </c>
      <c r="T8" s="15">
        <f>IF($C8="","",U7+VLOOKUP($C7,'K-Zug-Routen'!$A:$J,9))</f>
        <v>1.12361111111107</v>
      </c>
      <c r="U8" s="14">
        <f t="shared" si="5"/>
        <v>1.1326388888888499</v>
      </c>
      <c r="V8" s="15"/>
      <c r="W8" s="14" t="str">
        <f t="shared" si="6"/>
        <v/>
      </c>
      <c r="X8" s="15"/>
      <c r="Y8" s="14" t="str">
        <f t="shared" si="7"/>
        <v/>
      </c>
      <c r="Z8" s="15"/>
      <c r="AA8" s="14" t="str">
        <f t="shared" si="8"/>
        <v/>
      </c>
      <c r="AB8" s="15"/>
      <c r="AC8" s="68" t="str">
        <f t="shared" si="9"/>
        <v/>
      </c>
      <c r="AD8" s="80">
        <f t="shared" si="10"/>
        <v>0.29027777777777602</v>
      </c>
      <c r="AE8" s="62">
        <f t="shared" si="11"/>
        <v>0.45694444444443899</v>
      </c>
      <c r="AF8" s="62">
        <f t="shared" si="12"/>
        <v>0.62361111111110201</v>
      </c>
      <c r="AG8" s="62">
        <f t="shared" si="13"/>
        <v>0.79027777777776498</v>
      </c>
      <c r="AH8" s="62">
        <f t="shared" si="14"/>
        <v>0.95694444444442694</v>
      </c>
      <c r="AI8" s="62">
        <f t="shared" si="15"/>
        <v>1.12361111111107</v>
      </c>
      <c r="AJ8" s="62" t="str">
        <f t="shared" si="16"/>
        <v/>
      </c>
      <c r="AK8" s="62" t="str">
        <f t="shared" si="17"/>
        <v/>
      </c>
      <c r="AL8" s="62" t="str">
        <f t="shared" si="18"/>
        <v/>
      </c>
      <c r="AM8" s="81" t="str">
        <f t="shared" si="19"/>
        <v/>
      </c>
    </row>
    <row r="9" spans="1:39" x14ac:dyDescent="0.25">
      <c r="A9" s="16" t="s">
        <v>26</v>
      </c>
      <c r="B9" s="9">
        <v>8</v>
      </c>
      <c r="C9" s="17">
        <v>6</v>
      </c>
      <c r="D9" s="18" t="str">
        <f>IF($C9="","",VLOOKUP($C9,'K-Zug-Routen'!$A:$F,2))</f>
        <v>416.11</v>
      </c>
      <c r="E9" s="16" t="str">
        <f>IF($C9="","",VLOOKUP(D9,Haltestellen!$A:$C,2))</f>
        <v>Burgstein Gl.3/V</v>
      </c>
      <c r="F9" s="19">
        <f>IF($C9="","",VLOOKUP($C9,'K-Zug-Routen'!$A:$F,6))</f>
        <v>6.2500000000000003E-3</v>
      </c>
      <c r="G9" s="17" t="str">
        <f>IF($C9="","",VLOOKUP($C9,'K-Zug-Routen'!$A:$F,4))</f>
        <v>413.11</v>
      </c>
      <c r="H9" s="16" t="str">
        <f>IF($C9="","",VLOOKUP(G9,Haltestellen!$A:$C,2))</f>
        <v>Weisenborn Gl.1/V</v>
      </c>
      <c r="I9" s="13"/>
      <c r="J9" s="69">
        <f>IF($C9="","",K8+VLOOKUP($C8,'K-Zug-Routen'!$A:$J,9))</f>
        <v>0.30624999999999802</v>
      </c>
      <c r="K9" s="14">
        <f t="shared" si="0"/>
        <v>0.312499999999998</v>
      </c>
      <c r="L9" s="15">
        <f>IF($C9="","",M8+VLOOKUP($C8,'K-Zug-Routen'!$A:$J,9))</f>
        <v>0.47291666666666099</v>
      </c>
      <c r="M9" s="14">
        <f t="shared" si="1"/>
        <v>0.47916666666666102</v>
      </c>
      <c r="N9" s="20">
        <f>IF($C9="","",O8+VLOOKUP($C8,'K-Zug-Routen'!$A:$J,9))</f>
        <v>0.63958333333332396</v>
      </c>
      <c r="O9" s="14">
        <f t="shared" si="2"/>
        <v>0.64583333333332404</v>
      </c>
      <c r="P9" s="20">
        <f>IF($C9="","",Q8+VLOOKUP($C8,'K-Zug-Routen'!$A:$J,9))</f>
        <v>0.80624999999998703</v>
      </c>
      <c r="Q9" s="14">
        <f t="shared" si="3"/>
        <v>0.81249999999998701</v>
      </c>
      <c r="R9" s="15">
        <f>IF($C9="","",S8+VLOOKUP($C8,'K-Zug-Routen'!$A:$J,9))</f>
        <v>0.972916666666649</v>
      </c>
      <c r="S9" s="14">
        <f t="shared" si="4"/>
        <v>0.97916666666664898</v>
      </c>
      <c r="T9" s="15">
        <f>IF($C9="","",U8+VLOOKUP($C8,'K-Zug-Routen'!$A:$J,9))</f>
        <v>1.1395833333332901</v>
      </c>
      <c r="U9" s="14">
        <f t="shared" si="5"/>
        <v>1.14583333333329</v>
      </c>
      <c r="V9" s="15"/>
      <c r="W9" s="14" t="str">
        <f t="shared" si="6"/>
        <v/>
      </c>
      <c r="X9" s="15"/>
      <c r="Y9" s="14" t="str">
        <f t="shared" si="7"/>
        <v/>
      </c>
      <c r="Z9" s="15"/>
      <c r="AA9" s="14" t="str">
        <f t="shared" si="8"/>
        <v/>
      </c>
      <c r="AB9" s="15"/>
      <c r="AC9" s="68" t="str">
        <f t="shared" si="9"/>
        <v/>
      </c>
      <c r="AD9" s="80">
        <f t="shared" si="10"/>
        <v>0.30624999999999802</v>
      </c>
      <c r="AE9" s="62">
        <f t="shared" si="11"/>
        <v>0.47291666666666099</v>
      </c>
      <c r="AF9" s="62">
        <f t="shared" si="12"/>
        <v>0.63958333333332396</v>
      </c>
      <c r="AG9" s="62">
        <f t="shared" si="13"/>
        <v>0.80624999999998703</v>
      </c>
      <c r="AH9" s="62">
        <f t="shared" si="14"/>
        <v>0.972916666666649</v>
      </c>
      <c r="AI9" s="62">
        <f t="shared" si="15"/>
        <v>1.1395833333332901</v>
      </c>
      <c r="AJ9" s="62" t="str">
        <f t="shared" si="16"/>
        <v/>
      </c>
      <c r="AK9" s="62" t="str">
        <f t="shared" si="17"/>
        <v/>
      </c>
      <c r="AL9" s="62" t="str">
        <f t="shared" si="18"/>
        <v/>
      </c>
      <c r="AM9" s="81" t="str">
        <f t="shared" si="19"/>
        <v/>
      </c>
    </row>
    <row r="10" spans="1:39" x14ac:dyDescent="0.25">
      <c r="A10" s="16" t="s">
        <v>26</v>
      </c>
      <c r="B10" s="9">
        <v>9</v>
      </c>
      <c r="C10" s="17">
        <v>11</v>
      </c>
      <c r="D10" s="18" t="str">
        <f>IF($C10="","",VLOOKUP($C10,'K-Zug-Routen'!$A:$F,2))</f>
        <v>413.11</v>
      </c>
      <c r="E10" s="16" t="str">
        <f>IF($C10="","",VLOOKUP(D10,Haltestellen!$A:$C,2))</f>
        <v>Weisenborn Gl.1/V</v>
      </c>
      <c r="F10" s="19">
        <f>IF($C10="","",VLOOKUP($C10,'K-Zug-Routen'!$A:$F,6))</f>
        <v>2.5694444444444402E-2</v>
      </c>
      <c r="G10" s="17" t="str">
        <f>IF($C10="","",VLOOKUP($C10,'K-Zug-Routen'!$A:$F,4))</f>
        <v>111.11</v>
      </c>
      <c r="H10" s="16" t="str">
        <f>IF($C10="","",VLOOKUP(G10,Haltestellen!$A:$C,2))</f>
        <v>Altstadt Gl.1/V</v>
      </c>
      <c r="I10" s="13"/>
      <c r="J10" s="69">
        <f>IF($C10="","",K9+VLOOKUP($C9,'K-Zug-Routen'!$A:$J,9))</f>
        <v>0.31944444444444198</v>
      </c>
      <c r="K10" s="14">
        <f t="shared" si="0"/>
        <v>0.345138888888886</v>
      </c>
      <c r="L10" s="15">
        <f>IF($C10="","",M9+VLOOKUP($C9,'K-Zug-Routen'!$A:$J,9))</f>
        <v>0.486111111111105</v>
      </c>
      <c r="M10" s="14">
        <f t="shared" si="1"/>
        <v>0.51180555555554896</v>
      </c>
      <c r="N10" s="20">
        <f>IF($C10="","",O9+VLOOKUP($C9,'K-Zug-Routen'!$A:$J,9))</f>
        <v>0.65277777777776802</v>
      </c>
      <c r="O10" s="14">
        <f t="shared" si="2"/>
        <v>0.67847222222221204</v>
      </c>
      <c r="P10" s="20">
        <f>IF($C10="","",Q9+VLOOKUP($C9,'K-Zug-Routen'!$A:$J,9))</f>
        <v>0.81944444444443099</v>
      </c>
      <c r="Q10" s="14">
        <f t="shared" si="3"/>
        <v>0.84513888888887501</v>
      </c>
      <c r="R10" s="15">
        <f>IF($C10="","",S9+VLOOKUP($C9,'K-Zug-Routen'!$A:$J,9))</f>
        <v>0.98611111111109295</v>
      </c>
      <c r="S10" s="14">
        <f t="shared" si="4"/>
        <v>1.0118055555555401</v>
      </c>
      <c r="T10" s="15">
        <f>IF($C10="","",U9+VLOOKUP($C9,'K-Zug-Routen'!$A:$J,9))</f>
        <v>1.1527777777777299</v>
      </c>
      <c r="U10" s="14">
        <f t="shared" si="5"/>
        <v>1.17847222222217</v>
      </c>
      <c r="V10" s="15"/>
      <c r="W10" s="14" t="str">
        <f t="shared" si="6"/>
        <v/>
      </c>
      <c r="X10" s="15"/>
      <c r="Y10" s="14" t="str">
        <f t="shared" si="7"/>
        <v/>
      </c>
      <c r="Z10" s="15"/>
      <c r="AA10" s="14" t="str">
        <f t="shared" si="8"/>
        <v/>
      </c>
      <c r="AB10" s="15"/>
      <c r="AC10" s="68" t="str">
        <f t="shared" si="9"/>
        <v/>
      </c>
      <c r="AD10" s="80">
        <f t="shared" si="10"/>
        <v>0.31944444444444198</v>
      </c>
      <c r="AE10" s="62">
        <f t="shared" si="11"/>
        <v>0.486111111111105</v>
      </c>
      <c r="AF10" s="62">
        <f t="shared" si="12"/>
        <v>0.65277777777776802</v>
      </c>
      <c r="AG10" s="62">
        <f t="shared" si="13"/>
        <v>0.81944444444443099</v>
      </c>
      <c r="AH10" s="62">
        <f t="shared" si="14"/>
        <v>0.98611111111109295</v>
      </c>
      <c r="AI10" s="62">
        <f t="shared" si="15"/>
        <v>1.1527777777777299</v>
      </c>
      <c r="AJ10" s="62" t="str">
        <f t="shared" si="16"/>
        <v/>
      </c>
      <c r="AK10" s="62" t="str">
        <f t="shared" si="17"/>
        <v/>
      </c>
      <c r="AL10" s="62" t="str">
        <f t="shared" si="18"/>
        <v/>
      </c>
      <c r="AM10" s="81" t="str">
        <f t="shared" si="19"/>
        <v/>
      </c>
    </row>
    <row r="11" spans="1:39" x14ac:dyDescent="0.25">
      <c r="A11" s="16" t="s">
        <v>26</v>
      </c>
      <c r="B11" s="9">
        <v>10</v>
      </c>
      <c r="C11" s="17">
        <v>2</v>
      </c>
      <c r="D11" s="18" t="str">
        <f>IF($C11="","",VLOOKUP($C11,'K-Zug-Routen'!$A:$F,2))</f>
        <v>111.11</v>
      </c>
      <c r="E11" s="16" t="str">
        <f>IF($C11="","",VLOOKUP(D11,Haltestellen!$A:$C,2))</f>
        <v>Altstadt Gl.1/V</v>
      </c>
      <c r="F11" s="19">
        <f>IF($C11="","",VLOOKUP($C11,'K-Zug-Routen'!$A:$F,6))</f>
        <v>4.8611111111111103E-3</v>
      </c>
      <c r="G11" s="17" t="str">
        <f>IF($C11="","",VLOOKUP($C11,'K-Zug-Routen'!$A:$F,4))</f>
        <v>111.12</v>
      </c>
      <c r="H11" s="16" t="str">
        <f>IF($C11="","",VLOOKUP(G11,Haltestellen!$A:$C,2))</f>
        <v>Altstadt Gl.1/N</v>
      </c>
      <c r="I11" s="13"/>
      <c r="J11" s="69">
        <f>IF($C11="","",K10+VLOOKUP($C10,'K-Zug-Routen'!$A:$J,9))</f>
        <v>0.34652777777777499</v>
      </c>
      <c r="K11" s="14">
        <f t="shared" si="0"/>
        <v>0.35138888888888598</v>
      </c>
      <c r="L11" s="15">
        <f>IF($C11="","",M10+VLOOKUP($C10,'K-Zug-Routen'!$A:$J,9))</f>
        <v>0.51319444444443796</v>
      </c>
      <c r="M11" s="14">
        <f t="shared" si="1"/>
        <v>0.51805555555554905</v>
      </c>
      <c r="N11" s="20">
        <f>IF($C11="","",O10+VLOOKUP($C10,'K-Zug-Routen'!$A:$J,9))</f>
        <v>0.67986111111110104</v>
      </c>
      <c r="O11" s="14">
        <f t="shared" si="2"/>
        <v>0.68472222222221202</v>
      </c>
      <c r="P11" s="20">
        <f>IF($C11="","",Q10+VLOOKUP($C10,'K-Zug-Routen'!$A:$J,9))</f>
        <v>0.846527777777764</v>
      </c>
      <c r="Q11" s="14">
        <f t="shared" si="3"/>
        <v>0.85138888888887498</v>
      </c>
      <c r="R11" s="15">
        <f>IF($C11="","",S10+VLOOKUP($C10,'K-Zug-Routen'!$A:$J,9))</f>
        <v>1.0131944444444301</v>
      </c>
      <c r="S11" s="14">
        <f t="shared" si="4"/>
        <v>1.0180555555555399</v>
      </c>
      <c r="T11" s="15">
        <f>IF($C11="","",U10+VLOOKUP($C10,'K-Zug-Routen'!$A:$J,9))</f>
        <v>1.17986111111106</v>
      </c>
      <c r="U11" s="14">
        <f t="shared" si="5"/>
        <v>1.1847222222221701</v>
      </c>
      <c r="V11" s="15"/>
      <c r="W11" s="14" t="str">
        <f t="shared" si="6"/>
        <v/>
      </c>
      <c r="X11" s="15"/>
      <c r="Y11" s="14" t="str">
        <f t="shared" si="7"/>
        <v/>
      </c>
      <c r="Z11" s="15"/>
      <c r="AA11" s="14" t="str">
        <f t="shared" si="8"/>
        <v/>
      </c>
      <c r="AB11" s="15"/>
      <c r="AC11" s="68" t="str">
        <f t="shared" si="9"/>
        <v/>
      </c>
      <c r="AD11" s="80">
        <f t="shared" si="10"/>
        <v>0.34652777777777499</v>
      </c>
      <c r="AE11" s="62">
        <f t="shared" si="11"/>
        <v>0.51319444444443796</v>
      </c>
      <c r="AF11" s="62">
        <f t="shared" si="12"/>
        <v>0.67986111111110104</v>
      </c>
      <c r="AG11" s="62">
        <f t="shared" si="13"/>
        <v>0.846527777777764</v>
      </c>
      <c r="AH11" s="62">
        <f t="shared" si="14"/>
        <v>1.0131944444444301</v>
      </c>
      <c r="AI11" s="62">
        <f t="shared" si="15"/>
        <v>1.17986111111106</v>
      </c>
      <c r="AJ11" s="62" t="str">
        <f t="shared" si="16"/>
        <v/>
      </c>
      <c r="AK11" s="62" t="str">
        <f t="shared" si="17"/>
        <v/>
      </c>
      <c r="AL11" s="62" t="str">
        <f t="shared" si="18"/>
        <v/>
      </c>
      <c r="AM11" s="81" t="str">
        <f t="shared" si="19"/>
        <v/>
      </c>
    </row>
    <row r="12" spans="1:39" x14ac:dyDescent="0.25">
      <c r="A12" s="16" t="s">
        <v>26</v>
      </c>
      <c r="B12" s="9">
        <v>11</v>
      </c>
      <c r="C12" s="17">
        <v>12</v>
      </c>
      <c r="D12" s="18" t="str">
        <f>IF($C12="","",VLOOKUP($C12,'K-Zug-Routen'!$A:$F,2))</f>
        <v>111.12</v>
      </c>
      <c r="E12" s="16" t="str">
        <f>IF($C12="","",VLOOKUP(D12,Haltestellen!$A:$C,2))</f>
        <v>Altstadt Gl.1/N</v>
      </c>
      <c r="F12" s="19">
        <f>IF($C12="","",VLOOKUP($C12,'K-Zug-Routen'!$A:$F,6))</f>
        <v>9.0277777777777804E-3</v>
      </c>
      <c r="G12" s="17" t="str">
        <f>IF($C12="","",VLOOKUP($C12,'K-Zug-Routen'!$A:$F,4))</f>
        <v>416.12</v>
      </c>
      <c r="H12" s="16" t="str">
        <f>IF($C12="","",VLOOKUP(G12,Haltestellen!$A:$C,2))</f>
        <v>Burgstein Gl.3/N</v>
      </c>
      <c r="I12" s="13"/>
      <c r="J12" s="69">
        <f>IF($C12="","",K11+VLOOKUP($C11,'K-Zug-Routen'!$A:$J,9))</f>
        <v>0.359722222222219</v>
      </c>
      <c r="K12" s="14">
        <f t="shared" si="0"/>
        <v>0.36874999999999702</v>
      </c>
      <c r="L12" s="15">
        <f>IF($C12="","",M11+VLOOKUP($C11,'K-Zug-Routen'!$A:$J,9))</f>
        <v>0.52638888888888202</v>
      </c>
      <c r="M12" s="14">
        <f t="shared" si="1"/>
        <v>0.53541666666665999</v>
      </c>
      <c r="N12" s="20">
        <f>IF($C12="","",O11+VLOOKUP($C11,'K-Zug-Routen'!$A:$J,9))</f>
        <v>0.69305555555554499</v>
      </c>
      <c r="O12" s="14">
        <f t="shared" si="2"/>
        <v>0.70208333333332296</v>
      </c>
      <c r="P12" s="20">
        <f>IF($C12="","",Q11+VLOOKUP($C11,'K-Zug-Routen'!$A:$J,9))</f>
        <v>0.85972222222220795</v>
      </c>
      <c r="Q12" s="14">
        <f t="shared" si="3"/>
        <v>0.86874999999998603</v>
      </c>
      <c r="R12" s="15">
        <f>IF($C12="","",S11+VLOOKUP($C11,'K-Zug-Routen'!$A:$J,9))</f>
        <v>1.0263888888888699</v>
      </c>
      <c r="S12" s="14">
        <f t="shared" si="4"/>
        <v>1.03541666666665</v>
      </c>
      <c r="T12" s="15">
        <f>IF($C12="","",U11+VLOOKUP($C11,'K-Zug-Routen'!$A:$J,9))</f>
        <v>1.1930555555555</v>
      </c>
      <c r="U12" s="14">
        <f t="shared" si="5"/>
        <v>1.2020833333332801</v>
      </c>
      <c r="V12" s="15"/>
      <c r="W12" s="14" t="str">
        <f t="shared" si="6"/>
        <v/>
      </c>
      <c r="X12" s="15"/>
      <c r="Y12" s="14" t="str">
        <f t="shared" si="7"/>
        <v/>
      </c>
      <c r="Z12" s="15"/>
      <c r="AA12" s="14" t="str">
        <f t="shared" si="8"/>
        <v/>
      </c>
      <c r="AB12" s="15"/>
      <c r="AC12" s="68" t="str">
        <f t="shared" si="9"/>
        <v/>
      </c>
      <c r="AD12" s="80">
        <f t="shared" si="10"/>
        <v>0.359722222222219</v>
      </c>
      <c r="AE12" s="62">
        <f t="shared" si="11"/>
        <v>0.52638888888888202</v>
      </c>
      <c r="AF12" s="62">
        <f t="shared" si="12"/>
        <v>0.69305555555554499</v>
      </c>
      <c r="AG12" s="62">
        <f t="shared" si="13"/>
        <v>0.85972222222220795</v>
      </c>
      <c r="AH12" s="62">
        <f t="shared" si="14"/>
        <v>1.0263888888888699</v>
      </c>
      <c r="AI12" s="62">
        <f t="shared" si="15"/>
        <v>1.1930555555555</v>
      </c>
      <c r="AJ12" s="62" t="str">
        <f t="shared" si="16"/>
        <v/>
      </c>
      <c r="AK12" s="62" t="str">
        <f t="shared" si="17"/>
        <v/>
      </c>
      <c r="AL12" s="62" t="str">
        <f t="shared" si="18"/>
        <v/>
      </c>
      <c r="AM12" s="81" t="str">
        <f t="shared" si="19"/>
        <v/>
      </c>
    </row>
    <row r="13" spans="1:39" x14ac:dyDescent="0.25">
      <c r="A13" s="16" t="s">
        <v>26</v>
      </c>
      <c r="B13" s="9">
        <v>12</v>
      </c>
      <c r="C13" s="17"/>
      <c r="D13" s="18" t="str">
        <f>IF($C13="","",VLOOKUP($C13,'K-Zug-Routen'!$A:$F,2))</f>
        <v/>
      </c>
      <c r="E13" s="16" t="str">
        <f>IF($C13="","",VLOOKUP(D13,Haltestellen!$A:$C,2))</f>
        <v/>
      </c>
      <c r="F13" s="19" t="str">
        <f>IF($C13="","",VLOOKUP($C13,'K-Zug-Routen'!$A:$F,6))</f>
        <v/>
      </c>
      <c r="G13" s="17" t="str">
        <f>IF($C13="","",VLOOKUP($C13,'K-Zug-Routen'!$A:$F,4))</f>
        <v/>
      </c>
      <c r="H13" s="16" t="str">
        <f>IF($C13="","",VLOOKUP(G13,Haltestellen!$A:$C,2))</f>
        <v/>
      </c>
      <c r="I13" s="13"/>
      <c r="J13" s="69" t="str">
        <f>IF($C13="","",K12+VLOOKUP($C12,'K-Zug-Routen'!$A:$J,9))</f>
        <v/>
      </c>
      <c r="K13" s="14" t="str">
        <f t="shared" si="0"/>
        <v/>
      </c>
      <c r="L13" s="15" t="str">
        <f>IF($C13="","",M12+VLOOKUP($C12,'K-Zug-Routen'!$A:$J,9))</f>
        <v/>
      </c>
      <c r="M13" s="14" t="str">
        <f t="shared" si="1"/>
        <v/>
      </c>
      <c r="N13" s="20" t="str">
        <f>IF($C13="","",O12+VLOOKUP($C12,'K-Zug-Routen'!$A:$J,9))</f>
        <v/>
      </c>
      <c r="O13" s="14" t="str">
        <f t="shared" si="2"/>
        <v/>
      </c>
      <c r="P13" s="20" t="str">
        <f>IF($C13="","",Q12+VLOOKUP($C12,'K-Zug-Routen'!$A:$J,9))</f>
        <v/>
      </c>
      <c r="Q13" s="14" t="str">
        <f t="shared" si="3"/>
        <v/>
      </c>
      <c r="R13" s="15" t="str">
        <f>IF($C13="","",S12+VLOOKUP($C12,'K-Zug-Routen'!$A:$J,9))</f>
        <v/>
      </c>
      <c r="S13" s="14" t="str">
        <f t="shared" si="4"/>
        <v/>
      </c>
      <c r="T13" s="15" t="str">
        <f>IF($C13="","",U12+VLOOKUP($C12,'K-Zug-Routen'!$A:$J,9))</f>
        <v/>
      </c>
      <c r="U13" s="14" t="str">
        <f t="shared" si="5"/>
        <v/>
      </c>
      <c r="V13" s="15"/>
      <c r="W13" s="14" t="str">
        <f t="shared" si="6"/>
        <v/>
      </c>
      <c r="X13" s="15"/>
      <c r="Y13" s="14" t="str">
        <f t="shared" si="7"/>
        <v/>
      </c>
      <c r="Z13" s="15"/>
      <c r="AA13" s="14" t="str">
        <f t="shared" si="8"/>
        <v/>
      </c>
      <c r="AB13" s="15"/>
      <c r="AC13" s="68" t="str">
        <f t="shared" si="9"/>
        <v/>
      </c>
      <c r="AD13" s="80" t="str">
        <f t="shared" si="10"/>
        <v/>
      </c>
      <c r="AE13" s="62" t="str">
        <f t="shared" si="11"/>
        <v/>
      </c>
      <c r="AF13" s="62" t="str">
        <f t="shared" si="12"/>
        <v/>
      </c>
      <c r="AG13" s="62" t="str">
        <f t="shared" si="13"/>
        <v/>
      </c>
      <c r="AH13" s="62" t="str">
        <f t="shared" si="14"/>
        <v/>
      </c>
      <c r="AI13" s="62" t="str">
        <f t="shared" si="15"/>
        <v/>
      </c>
      <c r="AJ13" s="62" t="str">
        <f t="shared" si="16"/>
        <v/>
      </c>
      <c r="AK13" s="62" t="str">
        <f t="shared" si="17"/>
        <v/>
      </c>
      <c r="AL13" s="62" t="str">
        <f t="shared" si="18"/>
        <v/>
      </c>
      <c r="AM13" s="81" t="str">
        <f t="shared" si="19"/>
        <v/>
      </c>
    </row>
    <row r="14" spans="1:39" x14ac:dyDescent="0.25">
      <c r="A14" s="22" t="s">
        <v>27</v>
      </c>
      <c r="B14" s="23">
        <v>1</v>
      </c>
      <c r="C14" s="24">
        <v>1</v>
      </c>
      <c r="D14" s="25" t="str">
        <f>IF($C14="","",VLOOKUP($C14,'S-Bahn-Routen'!$A:$F,2))</f>
        <v>417.11</v>
      </c>
      <c r="E14" s="22" t="str">
        <f>IF($C14="","",VLOOKUP(D14,Haltestellen!$A:$C,2))</f>
        <v>Burgstein Gl.2/V</v>
      </c>
      <c r="F14" s="26">
        <f>IF($C14="","",VLOOKUP($C14,'S-Bahn-Routen'!$A:$F,6))</f>
        <v>1.0416666666666701E-2</v>
      </c>
      <c r="G14" s="24" t="str">
        <f>IF($C14="","",VLOOKUP($C14,'S-Bahn-Routen'!$A:$F,4))</f>
        <v>213.12</v>
      </c>
      <c r="H14" s="22" t="str">
        <f>IF($C14="","",VLOOKUP(G14,Haltestellen!$A:$C,2))</f>
        <v>Altena Gl.2/N</v>
      </c>
      <c r="I14" s="27"/>
      <c r="J14" s="106">
        <v>0.20833333333333301</v>
      </c>
      <c r="K14" s="107">
        <f t="shared" ref="K14:K21" si="20">IF(J14="","",J14+F14)</f>
        <v>0.21875</v>
      </c>
      <c r="L14" s="108">
        <f>IF($C14="","",K22+VLOOKUP($C22,'S-Bahn-Routen'!$A:$J,9)+'S-Bahn-Routen'!$H$2)</f>
        <v>0.375000000000002</v>
      </c>
      <c r="M14" s="107">
        <f t="shared" ref="M14:M56" si="21">IF(L14="","",L14+$F14)</f>
        <v>0.38541666666666902</v>
      </c>
      <c r="N14" s="108">
        <f>IF($C14="","",M22+VLOOKUP($C22,'S-Bahn-Routen'!$A:$J,9)+'S-Bahn-Routen'!$H$2)</f>
        <v>0.54166666666667096</v>
      </c>
      <c r="O14" s="107">
        <f t="shared" ref="O14:O56" si="22">IF(N14="","",N14+$F14)</f>
        <v>0.55208333333333803</v>
      </c>
      <c r="P14" s="108">
        <f>IF($C14="","",O22+VLOOKUP($C22,'S-Bahn-Routen'!$A:$J,9)+'S-Bahn-Routen'!$H$2)</f>
        <v>0.70833333333334003</v>
      </c>
      <c r="Q14" s="107">
        <f t="shared" ref="Q14:Q56" si="23">IF(P14="","",P14+$F14)</f>
        <v>0.71875000000000699</v>
      </c>
      <c r="R14" s="109">
        <f>IF($C14="","",Q22+VLOOKUP($C22,'S-Bahn-Routen'!$A:$J,9)+'S-Bahn-Routen'!$H$2)</f>
        <v>0.87500000000000899</v>
      </c>
      <c r="S14" s="107">
        <f t="shared" ref="S14:S56" si="24">IF(R14="","",R14+$F14)</f>
        <v>0.88541666666667596</v>
      </c>
      <c r="T14" s="109">
        <f>IF($C14="","",S22+VLOOKUP($C22,'S-Bahn-Routen'!$A:$J,9)+'S-Bahn-Routen'!$H$2)</f>
        <v>1.0416666666666801</v>
      </c>
      <c r="U14" s="107">
        <f t="shared" ref="U14:U56" si="25">IF(T14="","",T14+$F14)</f>
        <v>1.0520833333333499</v>
      </c>
      <c r="V14" s="109"/>
      <c r="W14" s="107" t="str">
        <f t="shared" ref="W14:W56" si="26">IF(V14="","",V14+$F14)</f>
        <v/>
      </c>
      <c r="X14" s="109"/>
      <c r="Y14" s="107" t="str">
        <f t="shared" si="7"/>
        <v/>
      </c>
      <c r="Z14" s="109"/>
      <c r="AA14" s="107" t="str">
        <f t="shared" si="8"/>
        <v/>
      </c>
      <c r="AB14" s="109"/>
      <c r="AC14" s="110" t="str">
        <f t="shared" si="9"/>
        <v/>
      </c>
      <c r="AD14" s="111">
        <f t="shared" si="10"/>
        <v>0.20833333333333301</v>
      </c>
      <c r="AE14" s="112">
        <f t="shared" si="11"/>
        <v>0.375000000000002</v>
      </c>
      <c r="AF14" s="112">
        <f t="shared" si="12"/>
        <v>0.54166666666667096</v>
      </c>
      <c r="AG14" s="112">
        <f t="shared" si="13"/>
        <v>0.70833333333334003</v>
      </c>
      <c r="AH14" s="112">
        <f t="shared" si="14"/>
        <v>0.87500000000000899</v>
      </c>
      <c r="AI14" s="112">
        <f t="shared" si="15"/>
        <v>1.0416666666666801</v>
      </c>
      <c r="AJ14" s="112" t="str">
        <f t="shared" si="16"/>
        <v/>
      </c>
      <c r="AK14" s="112" t="str">
        <f t="shared" si="17"/>
        <v/>
      </c>
      <c r="AL14" s="112" t="str">
        <f t="shared" si="18"/>
        <v/>
      </c>
      <c r="AM14" s="113" t="str">
        <f t="shared" si="19"/>
        <v/>
      </c>
    </row>
    <row r="15" spans="1:39" x14ac:dyDescent="0.25">
      <c r="A15" s="22" t="s">
        <v>27</v>
      </c>
      <c r="B15" s="23">
        <v>2</v>
      </c>
      <c r="C15" s="24">
        <v>2</v>
      </c>
      <c r="D15" s="18" t="str">
        <f>IF($C15="","",VLOOKUP($C15,'S-Bahn-Routen'!$A:$F,2))</f>
        <v>213.12</v>
      </c>
      <c r="E15" s="22" t="str">
        <f>IF($C15="","",VLOOKUP(D15,Haltestellen!$A:$C,2))</f>
        <v>Altena Gl.2/N</v>
      </c>
      <c r="F15" s="26">
        <f>IF($C15="","",VLOOKUP($C15,'S-Bahn-Routen'!$A:$F,6))</f>
        <v>6.9444444444444397E-3</v>
      </c>
      <c r="G15" s="24" t="str">
        <f>IF($C15="","",VLOOKUP($C15,'S-Bahn-Routen'!$A:$F,4))</f>
        <v>417.12</v>
      </c>
      <c r="H15" s="22" t="str">
        <f>IF($C15="","",VLOOKUP(G15,Haltestellen!$A:$C,2))</f>
        <v>Burgstein Gl.2/N</v>
      </c>
      <c r="I15" s="27"/>
      <c r="J15" s="114">
        <f>IF($C15="","",K14+VLOOKUP($C14,'S-Bahn-Routen'!$A:$J,9))</f>
        <v>0.22291666666666701</v>
      </c>
      <c r="K15" s="107">
        <f t="shared" si="20"/>
        <v>0.22986111111111099</v>
      </c>
      <c r="L15" s="108">
        <f>IF($C15="","",M14+VLOOKUP($C14,'S-Bahn-Routen'!$A:$J,9))</f>
        <v>0.389583333333336</v>
      </c>
      <c r="M15" s="107">
        <f t="shared" si="21"/>
        <v>0.39652777777777998</v>
      </c>
      <c r="N15" s="108">
        <f>IF($C15="","",O14+VLOOKUP($C14,'S-Bahn-Routen'!$A:$J,9))</f>
        <v>0.55625000000000502</v>
      </c>
      <c r="O15" s="107">
        <f t="shared" si="22"/>
        <v>0.56319444444444899</v>
      </c>
      <c r="P15" s="108">
        <f>IF($C15="","",Q14+VLOOKUP($C14,'S-Bahn-Routen'!$A:$J,9))</f>
        <v>0.72291666666667398</v>
      </c>
      <c r="Q15" s="107">
        <f t="shared" si="23"/>
        <v>0.72986111111111796</v>
      </c>
      <c r="R15" s="109">
        <f>IF($C15="","",S14+VLOOKUP($C14,'S-Bahn-Routen'!$A:$J,9))</f>
        <v>0.88958333333334305</v>
      </c>
      <c r="S15" s="107">
        <f t="shared" si="24"/>
        <v>0.89652777777778703</v>
      </c>
      <c r="T15" s="109">
        <f>IF($C15="","",U14+VLOOKUP($C14,'S-Bahn-Routen'!$A:$J,9))</f>
        <v>1.0562500000000199</v>
      </c>
      <c r="U15" s="107">
        <f t="shared" si="25"/>
        <v>1.0631944444444601</v>
      </c>
      <c r="V15" s="109"/>
      <c r="W15" s="107" t="str">
        <f t="shared" si="26"/>
        <v/>
      </c>
      <c r="X15" s="109"/>
      <c r="Y15" s="107" t="str">
        <f t="shared" si="7"/>
        <v/>
      </c>
      <c r="Z15" s="109"/>
      <c r="AA15" s="107" t="str">
        <f t="shared" si="8"/>
        <v/>
      </c>
      <c r="AB15" s="109"/>
      <c r="AC15" s="110" t="str">
        <f t="shared" si="9"/>
        <v/>
      </c>
      <c r="AD15" s="111">
        <f t="shared" si="10"/>
        <v>0.22291666666666701</v>
      </c>
      <c r="AE15" s="112">
        <f t="shared" si="11"/>
        <v>0.389583333333336</v>
      </c>
      <c r="AF15" s="112">
        <f t="shared" si="12"/>
        <v>0.55625000000000502</v>
      </c>
      <c r="AG15" s="112">
        <f t="shared" si="13"/>
        <v>0.72291666666667398</v>
      </c>
      <c r="AH15" s="112">
        <f t="shared" si="14"/>
        <v>0.88958333333334305</v>
      </c>
      <c r="AI15" s="112">
        <f t="shared" si="15"/>
        <v>1.0562500000000199</v>
      </c>
      <c r="AJ15" s="112" t="str">
        <f t="shared" si="16"/>
        <v/>
      </c>
      <c r="AK15" s="112" t="str">
        <f t="shared" si="17"/>
        <v/>
      </c>
      <c r="AL15" s="112" t="str">
        <f t="shared" si="18"/>
        <v/>
      </c>
      <c r="AM15" s="113" t="str">
        <f t="shared" si="19"/>
        <v/>
      </c>
    </row>
    <row r="16" spans="1:39" x14ac:dyDescent="0.25">
      <c r="A16" s="22" t="s">
        <v>27</v>
      </c>
      <c r="B16" s="23">
        <v>3</v>
      </c>
      <c r="C16" s="24">
        <v>11</v>
      </c>
      <c r="D16" s="18" t="str">
        <f>IF($C16="","",VLOOKUP($C16,'S-Bahn-Routen'!$A:$F,2))</f>
        <v>417.12</v>
      </c>
      <c r="E16" s="22" t="str">
        <f>IF($C16="","",VLOOKUP(D16,Haltestellen!$A:$C,2))</f>
        <v>Burgstein Gl.2/N</v>
      </c>
      <c r="F16" s="26">
        <f>IF($C16="","",VLOOKUP($C16,'S-Bahn-Routen'!$A:$F,6))</f>
        <v>1.1111111111111099E-2</v>
      </c>
      <c r="G16" s="24" t="str">
        <f>IF($C16="","",VLOOKUP($C16,'S-Bahn-Routen'!$A:$F,4))</f>
        <v>113.12</v>
      </c>
      <c r="H16" s="22" t="str">
        <f>IF($C16="","",VLOOKUP(G16,Haltestellen!$A:$C,2))</f>
        <v>Altstadt Gl.3/N</v>
      </c>
      <c r="I16" s="27"/>
      <c r="J16" s="114">
        <f>IF($C16="","",K15+VLOOKUP($C15,'S-Bahn-Routen'!$A:$J,9))</f>
        <v>0.234027777777778</v>
      </c>
      <c r="K16" s="107">
        <f t="shared" si="20"/>
        <v>0.24513888888888899</v>
      </c>
      <c r="L16" s="108">
        <f>IF($C16="","",M15+VLOOKUP($C15,'S-Bahn-Routen'!$A:$J,9))</f>
        <v>0.40069444444444702</v>
      </c>
      <c r="M16" s="107">
        <f t="shared" si="21"/>
        <v>0.41180555555555798</v>
      </c>
      <c r="N16" s="108">
        <f>IF($C16="","",O15+VLOOKUP($C15,'S-Bahn-Routen'!$A:$J,9))</f>
        <v>0.56736111111111598</v>
      </c>
      <c r="O16" s="107">
        <f t="shared" si="22"/>
        <v>0.57847222222222705</v>
      </c>
      <c r="P16" s="108">
        <f>IF($C16="","",Q15+VLOOKUP($C15,'S-Bahn-Routen'!$A:$J,9))</f>
        <v>0.73402777777778505</v>
      </c>
      <c r="Q16" s="107">
        <f t="shared" si="23"/>
        <v>0.74513888888889601</v>
      </c>
      <c r="R16" s="109">
        <f>IF($C16="","",S15+VLOOKUP($C15,'S-Bahn-Routen'!$A:$J,9))</f>
        <v>0.90069444444445401</v>
      </c>
      <c r="S16" s="107">
        <f t="shared" si="24"/>
        <v>0.91180555555556497</v>
      </c>
      <c r="T16" s="109">
        <f>IF($C16="","",U15+VLOOKUP($C15,'S-Bahn-Routen'!$A:$J,9))</f>
        <v>1.0673611111111301</v>
      </c>
      <c r="U16" s="107">
        <f t="shared" si="25"/>
        <v>1.07847222222224</v>
      </c>
      <c r="V16" s="109"/>
      <c r="W16" s="107" t="str">
        <f t="shared" si="26"/>
        <v/>
      </c>
      <c r="X16" s="109"/>
      <c r="Y16" s="107" t="str">
        <f t="shared" si="7"/>
        <v/>
      </c>
      <c r="Z16" s="109"/>
      <c r="AA16" s="107" t="str">
        <f t="shared" si="8"/>
        <v/>
      </c>
      <c r="AB16" s="109"/>
      <c r="AC16" s="110" t="str">
        <f t="shared" si="9"/>
        <v/>
      </c>
      <c r="AD16" s="111">
        <f t="shared" si="10"/>
        <v>0.234027777777778</v>
      </c>
      <c r="AE16" s="112">
        <f t="shared" si="11"/>
        <v>0.40069444444444702</v>
      </c>
      <c r="AF16" s="112">
        <f t="shared" si="12"/>
        <v>0.56736111111111598</v>
      </c>
      <c r="AG16" s="112">
        <f t="shared" si="13"/>
        <v>0.73402777777778505</v>
      </c>
      <c r="AH16" s="112">
        <f t="shared" si="14"/>
        <v>0.90069444444445401</v>
      </c>
      <c r="AI16" s="112">
        <f t="shared" si="15"/>
        <v>1.0673611111111301</v>
      </c>
      <c r="AJ16" s="112" t="str">
        <f t="shared" si="16"/>
        <v/>
      </c>
      <c r="AK16" s="112" t="str">
        <f t="shared" si="17"/>
        <v/>
      </c>
      <c r="AL16" s="112" t="str">
        <f t="shared" si="18"/>
        <v/>
      </c>
      <c r="AM16" s="113" t="str">
        <f t="shared" si="19"/>
        <v/>
      </c>
    </row>
    <row r="17" spans="1:39" x14ac:dyDescent="0.25">
      <c r="A17" s="22" t="s">
        <v>27</v>
      </c>
      <c r="B17" s="23">
        <v>4</v>
      </c>
      <c r="C17" s="24">
        <v>12</v>
      </c>
      <c r="D17" s="18" t="str">
        <f>IF($C17="","",VLOOKUP($C17,'S-Bahn-Routen'!$A:$F,2))</f>
        <v>113.12</v>
      </c>
      <c r="E17" s="22" t="str">
        <f>IF($C17="","",VLOOKUP(D17,Haltestellen!$A:$C,2))</f>
        <v>Altstadt Gl.3/N</v>
      </c>
      <c r="F17" s="26">
        <f>IF($C17="","",VLOOKUP($C17,'S-Bahn-Routen'!$A:$F,6))</f>
        <v>1.8055555555555599E-2</v>
      </c>
      <c r="G17" s="24" t="str">
        <f>IF($C17="","",VLOOKUP($C17,'S-Bahn-Routen'!$A:$F,4))</f>
        <v>417.12</v>
      </c>
      <c r="H17" s="22" t="str">
        <f>IF($C17="","",VLOOKUP(G17,Haltestellen!$A:$C,2))</f>
        <v>Burgstein Gl.2/N</v>
      </c>
      <c r="I17" s="27"/>
      <c r="J17" s="114">
        <f>IF($C17="","",K16+VLOOKUP($C16,'S-Bahn-Routen'!$A:$J,9))</f>
        <v>0.25555555555555598</v>
      </c>
      <c r="K17" s="107">
        <f t="shared" si="20"/>
        <v>0.27361111111111203</v>
      </c>
      <c r="L17" s="108">
        <f>IF($C17="","",M16+VLOOKUP($C16,'S-Bahn-Routen'!$A:$J,9))</f>
        <v>0.422222222222225</v>
      </c>
      <c r="M17" s="107">
        <f t="shared" si="21"/>
        <v>0.44027777777778099</v>
      </c>
      <c r="N17" s="108">
        <f>IF($C17="","",O16+VLOOKUP($C16,'S-Bahn-Routen'!$A:$J,9))</f>
        <v>0.58888888888889401</v>
      </c>
      <c r="O17" s="107">
        <f t="shared" si="22"/>
        <v>0.60694444444444995</v>
      </c>
      <c r="P17" s="108">
        <f>IF($C17="","",Q16+VLOOKUP($C16,'S-Bahn-Routen'!$A:$J,9))</f>
        <v>0.75555555555556297</v>
      </c>
      <c r="Q17" s="107">
        <f t="shared" si="23"/>
        <v>0.77361111111111902</v>
      </c>
      <c r="R17" s="109">
        <f>IF($C17="","",S16+VLOOKUP($C16,'S-Bahn-Routen'!$A:$J,9))</f>
        <v>0.92222222222223205</v>
      </c>
      <c r="S17" s="107">
        <f t="shared" si="24"/>
        <v>0.94027777777778798</v>
      </c>
      <c r="T17" s="109">
        <f>IF($C17="","",U16+VLOOKUP($C16,'S-Bahn-Routen'!$A:$J,9))</f>
        <v>1.0888888888889099</v>
      </c>
      <c r="U17" s="107">
        <f t="shared" si="25"/>
        <v>1.10694444444447</v>
      </c>
      <c r="V17" s="109"/>
      <c r="W17" s="107" t="str">
        <f t="shared" si="26"/>
        <v/>
      </c>
      <c r="X17" s="109"/>
      <c r="Y17" s="107" t="str">
        <f t="shared" si="7"/>
        <v/>
      </c>
      <c r="Z17" s="109"/>
      <c r="AA17" s="107" t="str">
        <f t="shared" si="8"/>
        <v/>
      </c>
      <c r="AB17" s="109"/>
      <c r="AC17" s="110" t="str">
        <f t="shared" si="9"/>
        <v/>
      </c>
      <c r="AD17" s="111">
        <f t="shared" si="10"/>
        <v>0.25555555555555598</v>
      </c>
      <c r="AE17" s="112">
        <f t="shared" si="11"/>
        <v>0.422222222222225</v>
      </c>
      <c r="AF17" s="112">
        <f t="shared" si="12"/>
        <v>0.58888888888889401</v>
      </c>
      <c r="AG17" s="112">
        <f t="shared" si="13"/>
        <v>0.75555555555556297</v>
      </c>
      <c r="AH17" s="112">
        <f t="shared" si="14"/>
        <v>0.92222222222223205</v>
      </c>
      <c r="AI17" s="112">
        <f t="shared" si="15"/>
        <v>1.0888888888889099</v>
      </c>
      <c r="AJ17" s="112" t="str">
        <f t="shared" si="16"/>
        <v/>
      </c>
      <c r="AK17" s="112" t="str">
        <f t="shared" si="17"/>
        <v/>
      </c>
      <c r="AL17" s="112" t="str">
        <f t="shared" si="18"/>
        <v/>
      </c>
      <c r="AM17" s="113" t="str">
        <f t="shared" si="19"/>
        <v/>
      </c>
    </row>
    <row r="18" spans="1:39" x14ac:dyDescent="0.25">
      <c r="A18" s="22" t="s">
        <v>27</v>
      </c>
      <c r="B18" s="23">
        <v>5</v>
      </c>
      <c r="C18" s="24">
        <v>11</v>
      </c>
      <c r="D18" s="18" t="str">
        <f>IF($C18="","",VLOOKUP($C18,'S-Bahn-Routen'!$A:$F,2))</f>
        <v>417.12</v>
      </c>
      <c r="E18" s="22" t="str">
        <f>IF($C18="","",VLOOKUP(D18,Haltestellen!$A:$C,2))</f>
        <v>Burgstein Gl.2/N</v>
      </c>
      <c r="F18" s="26">
        <f>IF($C18="","",VLOOKUP($C18,'S-Bahn-Routen'!$A:$F,6))</f>
        <v>1.1111111111111099E-2</v>
      </c>
      <c r="G18" s="24" t="str">
        <f>IF($C18="","",VLOOKUP($C18,'S-Bahn-Routen'!$A:$F,4))</f>
        <v>113.12</v>
      </c>
      <c r="H18" s="22" t="str">
        <f>IF($C18="","",VLOOKUP(G18,Haltestellen!$A:$C,2))</f>
        <v>Altstadt Gl.3/N</v>
      </c>
      <c r="I18" s="27"/>
      <c r="J18" s="114">
        <f>IF($C18="","",K17+VLOOKUP($C17,'S-Bahn-Routen'!$A:$J,9))</f>
        <v>0.27777777777777901</v>
      </c>
      <c r="K18" s="107">
        <f t="shared" si="20"/>
        <v>0.28888888888889003</v>
      </c>
      <c r="L18" s="108">
        <f>IF($C18="","",M17+VLOOKUP($C17,'S-Bahn-Routen'!$A:$J,9))</f>
        <v>0.44444444444444797</v>
      </c>
      <c r="M18" s="107">
        <f t="shared" si="21"/>
        <v>0.45555555555555899</v>
      </c>
      <c r="N18" s="108">
        <f>IF($C18="","",O17+VLOOKUP($C17,'S-Bahn-Routen'!$A:$J,9))</f>
        <v>0.61111111111111704</v>
      </c>
      <c r="O18" s="107">
        <f t="shared" si="22"/>
        <v>0.62222222222222801</v>
      </c>
      <c r="P18" s="108">
        <f>IF($C18="","",Q17+VLOOKUP($C17,'S-Bahn-Routen'!$A:$J,9))</f>
        <v>0.77777777777778601</v>
      </c>
      <c r="Q18" s="107">
        <f t="shared" si="23"/>
        <v>0.78888888888889697</v>
      </c>
      <c r="R18" s="109">
        <f>IF($C18="","",S17+VLOOKUP($C17,'S-Bahn-Routen'!$A:$J,9))</f>
        <v>0.94444444444445497</v>
      </c>
      <c r="S18" s="107">
        <f t="shared" si="24"/>
        <v>0.95555555555556604</v>
      </c>
      <c r="T18" s="109">
        <f>IF($C18="","",U17+VLOOKUP($C17,'S-Bahn-Routen'!$A:$J,9))</f>
        <v>1.11111111111114</v>
      </c>
      <c r="U18" s="107">
        <f t="shared" si="25"/>
        <v>1.12222222222225</v>
      </c>
      <c r="V18" s="109"/>
      <c r="W18" s="107" t="str">
        <f t="shared" si="26"/>
        <v/>
      </c>
      <c r="X18" s="109"/>
      <c r="Y18" s="107" t="str">
        <f t="shared" si="7"/>
        <v/>
      </c>
      <c r="Z18" s="109"/>
      <c r="AA18" s="107" t="str">
        <f t="shared" si="8"/>
        <v/>
      </c>
      <c r="AB18" s="109"/>
      <c r="AC18" s="110" t="str">
        <f t="shared" si="9"/>
        <v/>
      </c>
      <c r="AD18" s="111">
        <f t="shared" si="10"/>
        <v>0.27777777777777901</v>
      </c>
      <c r="AE18" s="112">
        <f t="shared" si="11"/>
        <v>0.44444444444444797</v>
      </c>
      <c r="AF18" s="112">
        <f t="shared" si="12"/>
        <v>0.61111111111111704</v>
      </c>
      <c r="AG18" s="112">
        <f t="shared" si="13"/>
        <v>0.77777777777778601</v>
      </c>
      <c r="AH18" s="112">
        <f t="shared" si="14"/>
        <v>0.94444444444445497</v>
      </c>
      <c r="AI18" s="112">
        <f t="shared" si="15"/>
        <v>1.11111111111114</v>
      </c>
      <c r="AJ18" s="112" t="str">
        <f t="shared" si="16"/>
        <v/>
      </c>
      <c r="AK18" s="112" t="str">
        <f t="shared" si="17"/>
        <v/>
      </c>
      <c r="AL18" s="112" t="str">
        <f t="shared" si="18"/>
        <v/>
      </c>
      <c r="AM18" s="113" t="str">
        <f t="shared" si="19"/>
        <v/>
      </c>
    </row>
    <row r="19" spans="1:39" x14ac:dyDescent="0.25">
      <c r="A19" s="22" t="s">
        <v>27</v>
      </c>
      <c r="B19" s="23">
        <v>6</v>
      </c>
      <c r="C19" s="24">
        <v>14</v>
      </c>
      <c r="D19" s="18" t="str">
        <f>IF($C19="","",VLOOKUP($C19,'S-Bahn-Routen'!$A:$F,2))</f>
        <v>113.12</v>
      </c>
      <c r="E19" s="22" t="str">
        <f>IF($C19="","",VLOOKUP(D19,Haltestellen!$A:$C,2))</f>
        <v>Altstadt Gl.3/N</v>
      </c>
      <c r="F19" s="26">
        <f>IF($C19="","",VLOOKUP($C19,'S-Bahn-Routen'!$A:$F,6))</f>
        <v>1.4583333333333301E-2</v>
      </c>
      <c r="G19" s="24" t="str">
        <f>IF($C19="","",VLOOKUP($C19,'S-Bahn-Routen'!$A:$F,4))</f>
        <v>213.11</v>
      </c>
      <c r="H19" s="22" t="str">
        <f>IF($C19="","",VLOOKUP(G19,Haltestellen!$A:$C,2))</f>
        <v>Altena Gl.2/V</v>
      </c>
      <c r="I19" s="27"/>
      <c r="J19" s="114">
        <f>IF($C19="","",K18+VLOOKUP($C18,'S-Bahn-Routen'!$A:$J,9))</f>
        <v>0.29930555555555699</v>
      </c>
      <c r="K19" s="107">
        <f t="shared" si="20"/>
        <v>0.31388888888888999</v>
      </c>
      <c r="L19" s="108">
        <f>IF($C19="","",M18+VLOOKUP($C18,'S-Bahn-Routen'!$A:$J,9))</f>
        <v>0.46597222222222601</v>
      </c>
      <c r="M19" s="107">
        <f t="shared" si="21"/>
        <v>0.48055555555555901</v>
      </c>
      <c r="N19" s="108">
        <f>IF($C19="","",O18+VLOOKUP($C18,'S-Bahn-Routen'!$A:$J,9))</f>
        <v>0.63263888888889497</v>
      </c>
      <c r="O19" s="107">
        <f t="shared" si="22"/>
        <v>0.64722222222222803</v>
      </c>
      <c r="P19" s="108">
        <f>IF($C19="","",Q18+VLOOKUP($C18,'S-Bahn-Routen'!$A:$J,9))</f>
        <v>0.79930555555556404</v>
      </c>
      <c r="Q19" s="107">
        <f t="shared" si="23"/>
        <v>0.81388888888889699</v>
      </c>
      <c r="R19" s="109">
        <f>IF($C19="","",S18+VLOOKUP($C18,'S-Bahn-Routen'!$A:$J,9))</f>
        <v>0.965972222222233</v>
      </c>
      <c r="S19" s="107">
        <f t="shared" si="24"/>
        <v>0.98055555555556595</v>
      </c>
      <c r="T19" s="109">
        <f>IF($C19="","",U18+VLOOKUP($C18,'S-Bahn-Routen'!$A:$J,9))</f>
        <v>1.1326388888889201</v>
      </c>
      <c r="U19" s="107">
        <f t="shared" si="25"/>
        <v>1.1472222222222499</v>
      </c>
      <c r="V19" s="109"/>
      <c r="W19" s="107" t="str">
        <f t="shared" si="26"/>
        <v/>
      </c>
      <c r="X19" s="109"/>
      <c r="Y19" s="107" t="str">
        <f t="shared" si="7"/>
        <v/>
      </c>
      <c r="Z19" s="109"/>
      <c r="AA19" s="107" t="str">
        <f t="shared" si="8"/>
        <v/>
      </c>
      <c r="AB19" s="109"/>
      <c r="AC19" s="110" t="str">
        <f t="shared" si="9"/>
        <v/>
      </c>
      <c r="AD19" s="111">
        <f t="shared" si="10"/>
        <v>0.29930555555555699</v>
      </c>
      <c r="AE19" s="112">
        <f t="shared" si="11"/>
        <v>0.46597222222222601</v>
      </c>
      <c r="AF19" s="112">
        <f t="shared" si="12"/>
        <v>0.63263888888889497</v>
      </c>
      <c r="AG19" s="112">
        <f t="shared" si="13"/>
        <v>0.79930555555556404</v>
      </c>
      <c r="AH19" s="112">
        <f t="shared" si="14"/>
        <v>0.965972222222233</v>
      </c>
      <c r="AI19" s="112">
        <f t="shared" si="15"/>
        <v>1.1326388888889201</v>
      </c>
      <c r="AJ19" s="112" t="str">
        <f t="shared" si="16"/>
        <v/>
      </c>
      <c r="AK19" s="112" t="str">
        <f t="shared" si="17"/>
        <v/>
      </c>
      <c r="AL19" s="112" t="str">
        <f t="shared" si="18"/>
        <v/>
      </c>
      <c r="AM19" s="113" t="str">
        <f t="shared" si="19"/>
        <v/>
      </c>
    </row>
    <row r="20" spans="1:39" x14ac:dyDescent="0.25">
      <c r="A20" s="22" t="s">
        <v>27</v>
      </c>
      <c r="B20" s="23">
        <v>7</v>
      </c>
      <c r="C20" s="24">
        <v>7</v>
      </c>
      <c r="D20" s="18" t="str">
        <f>IF($C20="","",VLOOKUP($C20,'S-Bahn-Routen'!$A:$F,2))</f>
        <v>213.11</v>
      </c>
      <c r="E20" s="22" t="str">
        <f>IF($C20="","",VLOOKUP(D20,Haltestellen!$A:$C,2))</f>
        <v>Altena Gl.2/V</v>
      </c>
      <c r="F20" s="26">
        <f>IF($C20="","",VLOOKUP($C20,'S-Bahn-Routen'!$A:$F,6))</f>
        <v>1.1111111111111099E-2</v>
      </c>
      <c r="G20" s="24" t="str">
        <f>IF($C20="","",VLOOKUP($C20,'S-Bahn-Routen'!$A:$F,4))</f>
        <v>417.12</v>
      </c>
      <c r="H20" s="22" t="str">
        <f>IF($C20="","",VLOOKUP(G20,Haltestellen!$A:$C,2))</f>
        <v>Burgstein Gl.2/N</v>
      </c>
      <c r="I20" s="27"/>
      <c r="J20" s="114">
        <f>IF($C20="","",K19+VLOOKUP($C19,'S-Bahn-Routen'!$A:$J,9))</f>
        <v>0.31805555555555698</v>
      </c>
      <c r="K20" s="107">
        <f t="shared" si="20"/>
        <v>0.329166666666668</v>
      </c>
      <c r="L20" s="108">
        <f>IF($C20="","",M19+VLOOKUP($C19,'S-Bahn-Routen'!$A:$J,9))</f>
        <v>0.484722222222226</v>
      </c>
      <c r="M20" s="107">
        <f t="shared" si="21"/>
        <v>0.49583333333333701</v>
      </c>
      <c r="N20" s="108">
        <f>IF($C20="","",O19+VLOOKUP($C19,'S-Bahn-Routen'!$A:$J,9))</f>
        <v>0.65138888888889501</v>
      </c>
      <c r="O20" s="107">
        <f t="shared" si="22"/>
        <v>0.66250000000000597</v>
      </c>
      <c r="P20" s="108">
        <f>IF($C20="","",Q19+VLOOKUP($C19,'S-Bahn-Routen'!$A:$J,9))</f>
        <v>0.81805555555556397</v>
      </c>
      <c r="Q20" s="107">
        <f t="shared" si="23"/>
        <v>0.82916666666667505</v>
      </c>
      <c r="R20" s="109">
        <f>IF($C20="","",S19+VLOOKUP($C19,'S-Bahn-Routen'!$A:$J,9))</f>
        <v>0.98472222222223305</v>
      </c>
      <c r="S20" s="107">
        <f>IF(R20="","",R20+$F20)</f>
        <v>0.99583333333334401</v>
      </c>
      <c r="T20" s="109">
        <f>IF($C20="","",U19+VLOOKUP($C19,'S-Bahn-Routen'!$A:$J,9))</f>
        <v>1.1513888888889201</v>
      </c>
      <c r="U20" s="107">
        <f t="shared" si="25"/>
        <v>1.1625000000000301</v>
      </c>
      <c r="V20" s="109"/>
      <c r="W20" s="107" t="str">
        <f t="shared" si="26"/>
        <v/>
      </c>
      <c r="X20" s="109"/>
      <c r="Y20" s="107" t="str">
        <f t="shared" si="7"/>
        <v/>
      </c>
      <c r="Z20" s="109"/>
      <c r="AA20" s="107" t="str">
        <f t="shared" si="8"/>
        <v/>
      </c>
      <c r="AB20" s="109"/>
      <c r="AC20" s="110" t="str">
        <f t="shared" si="9"/>
        <v/>
      </c>
      <c r="AD20" s="111">
        <f t="shared" si="10"/>
        <v>0.31805555555555698</v>
      </c>
      <c r="AE20" s="112">
        <f t="shared" si="11"/>
        <v>0.484722222222226</v>
      </c>
      <c r="AF20" s="112">
        <f t="shared" si="12"/>
        <v>0.65138888888889501</v>
      </c>
      <c r="AG20" s="112">
        <f t="shared" si="13"/>
        <v>0.81805555555556397</v>
      </c>
      <c r="AH20" s="112">
        <f t="shared" si="14"/>
        <v>0.98472222222223305</v>
      </c>
      <c r="AI20" s="112">
        <f t="shared" si="15"/>
        <v>1.1513888888889201</v>
      </c>
      <c r="AJ20" s="112" t="str">
        <f t="shared" si="16"/>
        <v/>
      </c>
      <c r="AK20" s="112" t="str">
        <f t="shared" si="17"/>
        <v/>
      </c>
      <c r="AL20" s="112" t="str">
        <f t="shared" si="18"/>
        <v/>
      </c>
      <c r="AM20" s="113" t="str">
        <f t="shared" si="19"/>
        <v/>
      </c>
    </row>
    <row r="21" spans="1:39" x14ac:dyDescent="0.25">
      <c r="A21" s="22" t="s">
        <v>27</v>
      </c>
      <c r="B21" s="23">
        <v>8</v>
      </c>
      <c r="C21" s="24">
        <v>11</v>
      </c>
      <c r="D21" s="18" t="str">
        <f>IF($C21="","",VLOOKUP($C21,'S-Bahn-Routen'!$A:$F,2))</f>
        <v>417.12</v>
      </c>
      <c r="E21" s="22" t="str">
        <f>IF($C21="","",VLOOKUP(D21,Haltestellen!$A:$C,2))</f>
        <v>Burgstein Gl.2/N</v>
      </c>
      <c r="F21" s="26">
        <f>IF($C21="","",VLOOKUP($C21,'S-Bahn-Routen'!$A:$F,6))</f>
        <v>1.1111111111111099E-2</v>
      </c>
      <c r="G21" s="24" t="str">
        <f>IF($C21="","",VLOOKUP($C21,'S-Bahn-Routen'!$A:$F,4))</f>
        <v>113.12</v>
      </c>
      <c r="H21" s="22" t="str">
        <f>IF($C21="","",VLOOKUP(G21,Haltestellen!$A:$C,2))</f>
        <v>Altstadt Gl.3/N</v>
      </c>
      <c r="I21" s="27"/>
      <c r="J21" s="114">
        <f>IF($C21="","",K20+VLOOKUP($C20,'S-Bahn-Routen'!$A:$J,9))</f>
        <v>0.33333333333333498</v>
      </c>
      <c r="K21" s="107">
        <f t="shared" si="20"/>
        <v>0.344444444444446</v>
      </c>
      <c r="L21" s="108">
        <f>IF($C21="","",M20+VLOOKUP($C20,'S-Bahn-Routen'!$A:$J,9))</f>
        <v>0.500000000000004</v>
      </c>
      <c r="M21" s="107">
        <f t="shared" si="21"/>
        <v>0.51111111111111496</v>
      </c>
      <c r="N21" s="108">
        <f>IF($C21="","",O20+VLOOKUP($C20,'S-Bahn-Routen'!$A:$J,9))</f>
        <v>0.66666666666667296</v>
      </c>
      <c r="O21" s="107">
        <f t="shared" si="22"/>
        <v>0.67777777777778403</v>
      </c>
      <c r="P21" s="108">
        <f>IF($C21="","",Q20+VLOOKUP($C20,'S-Bahn-Routen'!$A:$J,9))</f>
        <v>0.83333333333334203</v>
      </c>
      <c r="Q21" s="107">
        <f t="shared" si="23"/>
        <v>0.84444444444445299</v>
      </c>
      <c r="R21" s="109">
        <f>IF($C21="","",S20+VLOOKUP($C20,'S-Bahn-Routen'!$A:$J,9))</f>
        <v>1.00000000000001</v>
      </c>
      <c r="S21" s="107">
        <f t="shared" si="24"/>
        <v>1.01111111111112</v>
      </c>
      <c r="T21" s="109">
        <f>IF($C21="","",U20+VLOOKUP($C20,'S-Bahn-Routen'!$A:$J,9))</f>
        <v>1.1666666666667</v>
      </c>
      <c r="U21" s="107">
        <f t="shared" si="25"/>
        <v>1.17777777777781</v>
      </c>
      <c r="V21" s="109"/>
      <c r="W21" s="107" t="str">
        <f t="shared" si="26"/>
        <v/>
      </c>
      <c r="X21" s="109"/>
      <c r="Y21" s="107" t="str">
        <f t="shared" si="7"/>
        <v/>
      </c>
      <c r="Z21" s="109"/>
      <c r="AA21" s="107" t="str">
        <f t="shared" si="8"/>
        <v/>
      </c>
      <c r="AB21" s="109"/>
      <c r="AC21" s="110" t="str">
        <f t="shared" si="9"/>
        <v/>
      </c>
      <c r="AD21" s="111">
        <f t="shared" si="10"/>
        <v>0.33333333333333498</v>
      </c>
      <c r="AE21" s="112">
        <f t="shared" si="11"/>
        <v>0.500000000000004</v>
      </c>
      <c r="AF21" s="112">
        <f t="shared" si="12"/>
        <v>0.66666666666667296</v>
      </c>
      <c r="AG21" s="112">
        <f t="shared" si="13"/>
        <v>0.83333333333334203</v>
      </c>
      <c r="AH21" s="112">
        <f t="shared" si="14"/>
        <v>1.00000000000001</v>
      </c>
      <c r="AI21" s="112">
        <f t="shared" si="15"/>
        <v>1.1666666666667</v>
      </c>
      <c r="AJ21" s="112" t="str">
        <f t="shared" si="16"/>
        <v/>
      </c>
      <c r="AK21" s="112" t="str">
        <f t="shared" si="17"/>
        <v/>
      </c>
      <c r="AL21" s="112" t="str">
        <f t="shared" si="18"/>
        <v/>
      </c>
      <c r="AM21" s="113" t="str">
        <f t="shared" si="19"/>
        <v/>
      </c>
    </row>
    <row r="22" spans="1:39" x14ac:dyDescent="0.25">
      <c r="A22" s="22" t="s">
        <v>27</v>
      </c>
      <c r="B22" s="23">
        <v>9</v>
      </c>
      <c r="C22" s="24">
        <v>13</v>
      </c>
      <c r="D22" s="18" t="str">
        <f>IF($C22="","",VLOOKUP($C22,'S-Bahn-Routen'!$A:$F,2))</f>
        <v>113.12</v>
      </c>
      <c r="E22" s="22" t="str">
        <f>IF($C22="","",VLOOKUP(D22,Haltestellen!$A:$C,2))</f>
        <v>Altstadt Gl.3/N</v>
      </c>
      <c r="F22" s="26">
        <f>IF($C22="","",VLOOKUP($C22,'S-Bahn-Routen'!$A:$F,6))</f>
        <v>1.1111111111111099E-2</v>
      </c>
      <c r="G22" s="24" t="str">
        <f>IF($C22="","",VLOOKUP($C22,'S-Bahn-Routen'!$A:$F,4))</f>
        <v>417.11</v>
      </c>
      <c r="H22" s="22" t="str">
        <f>IF($C22="","",VLOOKUP(G22,Haltestellen!$A:$C,2))</f>
        <v>Burgstein Gl.2/V</v>
      </c>
      <c r="I22" s="27"/>
      <c r="J22" s="114">
        <f>IF($C22="","",K21+VLOOKUP($C21,'S-Bahn-Routen'!$A:$J,9))</f>
        <v>0.35486111111111301</v>
      </c>
      <c r="K22" s="107">
        <f t="shared" ref="K22:K24" si="27">IF(J22="","",J22+F22)</f>
        <v>0.36597222222222398</v>
      </c>
      <c r="L22" s="108">
        <f>IF($C22="","",M21+VLOOKUP($C21,'S-Bahn-Routen'!$A:$J,9))</f>
        <v>0.52152777777778203</v>
      </c>
      <c r="M22" s="107">
        <f t="shared" ref="M22" si="28">IF(L22="","",L22+$F22)</f>
        <v>0.53263888888889299</v>
      </c>
      <c r="N22" s="108">
        <f>IF($C22="","",O21+VLOOKUP($C21,'S-Bahn-Routen'!$A:$J,9))</f>
        <v>0.68819444444445099</v>
      </c>
      <c r="O22" s="107">
        <f t="shared" ref="O22" si="29">IF(N22="","",N22+$F22)</f>
        <v>0.69930555555556195</v>
      </c>
      <c r="P22" s="108">
        <f>IF($C22="","",Q21+VLOOKUP($C21,'S-Bahn-Routen'!$A:$J,9))</f>
        <v>0.85486111111111995</v>
      </c>
      <c r="Q22" s="107">
        <f t="shared" ref="Q22" si="30">IF(P22="","",P22+$F22)</f>
        <v>0.86597222222223103</v>
      </c>
      <c r="R22" s="109">
        <f>IF($C22="","",S21+VLOOKUP($C21,'S-Bahn-Routen'!$A:$J,9))</f>
        <v>1.02152777777779</v>
      </c>
      <c r="S22" s="107">
        <f t="shared" ref="S22" si="31">IF(R22="","",R22+$F22)</f>
        <v>1.0326388888889</v>
      </c>
      <c r="T22" s="109">
        <f>IF($C22="","",U21+VLOOKUP($C21,'S-Bahn-Routen'!$A:$J,9))</f>
        <v>1.1881944444444801</v>
      </c>
      <c r="U22" s="107">
        <f t="shared" ref="U22" si="32">IF(T22="","",T22+$F22)</f>
        <v>1.19930555555559</v>
      </c>
      <c r="V22" s="109"/>
      <c r="W22" s="107"/>
      <c r="X22" s="109"/>
      <c r="Y22" s="107"/>
      <c r="Z22" s="109"/>
      <c r="AA22" s="107"/>
      <c r="AB22" s="109"/>
      <c r="AC22" s="110"/>
      <c r="AD22" s="111">
        <f t="shared" ref="AD22:AD24" si="33">IF(J22="","",J22)</f>
        <v>0.35486111111111301</v>
      </c>
      <c r="AE22" s="112">
        <f t="shared" ref="AE22:AE24" si="34">IF(L22="","",L22)</f>
        <v>0.52152777777778203</v>
      </c>
      <c r="AF22" s="112">
        <f t="shared" ref="AF22:AF24" si="35">IF(N22="","",N22)</f>
        <v>0.68819444444445099</v>
      </c>
      <c r="AG22" s="112">
        <f t="shared" ref="AG22:AG24" si="36">IF(P22="","",P22)</f>
        <v>0.85486111111111995</v>
      </c>
      <c r="AH22" s="112">
        <f t="shared" ref="AH22:AH24" si="37">IF(R22="","",R22)</f>
        <v>1.02152777777779</v>
      </c>
      <c r="AI22" s="112">
        <f t="shared" ref="AI22:AI24" si="38">IF(T22="","",T22)</f>
        <v>1.1881944444444801</v>
      </c>
      <c r="AJ22" s="112"/>
      <c r="AK22" s="112"/>
      <c r="AL22" s="112"/>
      <c r="AM22" s="113"/>
    </row>
    <row r="23" spans="1:39" x14ac:dyDescent="0.25">
      <c r="A23" s="22" t="s">
        <v>27</v>
      </c>
      <c r="B23" s="23">
        <v>10</v>
      </c>
      <c r="C23" s="24"/>
      <c r="D23" s="18" t="str">
        <f>IF($C23="","",VLOOKUP($C23,'S-Bahn-Routen'!$A:$F,2))</f>
        <v/>
      </c>
      <c r="E23" s="22" t="str">
        <f>IF($C23="","",VLOOKUP(D23,Haltestellen!$A:$C,2))</f>
        <v/>
      </c>
      <c r="F23" s="26" t="str">
        <f>IF($C23="","",VLOOKUP($C23,'S-Bahn-Routen'!$A:$F,6))</f>
        <v/>
      </c>
      <c r="G23" s="24" t="str">
        <f>IF($C23="","",VLOOKUP($C23,'S-Bahn-Routen'!$A:$F,4))</f>
        <v/>
      </c>
      <c r="H23" s="22" t="str">
        <f>IF($C23="","",VLOOKUP(G23,Haltestellen!$A:$C,2))</f>
        <v/>
      </c>
      <c r="I23" s="27"/>
      <c r="J23" s="114"/>
      <c r="K23" s="107" t="str">
        <f t="shared" si="27"/>
        <v/>
      </c>
      <c r="L23" s="108"/>
      <c r="M23" s="107"/>
      <c r="N23" s="108"/>
      <c r="O23" s="107"/>
      <c r="P23" s="108"/>
      <c r="Q23" s="107"/>
      <c r="R23" s="109"/>
      <c r="S23" s="107"/>
      <c r="T23" s="109"/>
      <c r="U23" s="107"/>
      <c r="V23" s="109"/>
      <c r="W23" s="107"/>
      <c r="X23" s="109"/>
      <c r="Y23" s="107"/>
      <c r="Z23" s="109"/>
      <c r="AA23" s="107"/>
      <c r="AB23" s="109"/>
      <c r="AC23" s="110"/>
      <c r="AD23" s="111" t="str">
        <f t="shared" si="33"/>
        <v/>
      </c>
      <c r="AE23" s="112" t="str">
        <f t="shared" si="34"/>
        <v/>
      </c>
      <c r="AF23" s="112" t="str">
        <f t="shared" si="35"/>
        <v/>
      </c>
      <c r="AG23" s="112" t="str">
        <f t="shared" si="36"/>
        <v/>
      </c>
      <c r="AH23" s="112" t="str">
        <f t="shared" si="37"/>
        <v/>
      </c>
      <c r="AI23" s="112" t="str">
        <f t="shared" si="38"/>
        <v/>
      </c>
      <c r="AJ23" s="112"/>
      <c r="AK23" s="112"/>
      <c r="AL23" s="112"/>
      <c r="AM23" s="113"/>
    </row>
    <row r="24" spans="1:39" x14ac:dyDescent="0.25">
      <c r="A24" s="22" t="s">
        <v>27</v>
      </c>
      <c r="B24" s="23">
        <v>11</v>
      </c>
      <c r="C24" s="24"/>
      <c r="D24" s="18" t="str">
        <f>IF($C24="","",VLOOKUP($C24,'S-Bahn-Routen'!$A:$F,2))</f>
        <v/>
      </c>
      <c r="E24" s="22" t="str">
        <f>IF($C24="","",VLOOKUP(D24,Haltestellen!$A:$C,2))</f>
        <v/>
      </c>
      <c r="F24" s="26" t="str">
        <f>IF($C24="","",VLOOKUP($C24,'S-Bahn-Routen'!$A:$F,6))</f>
        <v/>
      </c>
      <c r="G24" s="24" t="str">
        <f>IF($C24="","",VLOOKUP($C24,'S-Bahn-Routen'!$A:$F,4))</f>
        <v/>
      </c>
      <c r="H24" s="22" t="str">
        <f>IF($C24="","",VLOOKUP(G24,Haltestellen!$A:$C,2))</f>
        <v/>
      </c>
      <c r="I24" s="27"/>
      <c r="J24" s="114"/>
      <c r="K24" s="107" t="str">
        <f t="shared" si="27"/>
        <v/>
      </c>
      <c r="L24" s="108"/>
      <c r="M24" s="107"/>
      <c r="N24" s="108"/>
      <c r="O24" s="107"/>
      <c r="P24" s="108"/>
      <c r="Q24" s="107"/>
      <c r="R24" s="109"/>
      <c r="S24" s="107"/>
      <c r="T24" s="109"/>
      <c r="U24" s="107"/>
      <c r="V24" s="109"/>
      <c r="W24" s="107"/>
      <c r="X24" s="109"/>
      <c r="Y24" s="107"/>
      <c r="Z24" s="109"/>
      <c r="AA24" s="107"/>
      <c r="AB24" s="109"/>
      <c r="AC24" s="110"/>
      <c r="AD24" s="111" t="str">
        <f t="shared" si="33"/>
        <v/>
      </c>
      <c r="AE24" s="112" t="str">
        <f t="shared" si="34"/>
        <v/>
      </c>
      <c r="AF24" s="112" t="str">
        <f t="shared" si="35"/>
        <v/>
      </c>
      <c r="AG24" s="112" t="str">
        <f t="shared" si="36"/>
        <v/>
      </c>
      <c r="AH24" s="112" t="str">
        <f t="shared" si="37"/>
        <v/>
      </c>
      <c r="AI24" s="112" t="str">
        <f t="shared" si="38"/>
        <v/>
      </c>
      <c r="AJ24" s="112"/>
      <c r="AK24" s="112"/>
      <c r="AL24" s="112"/>
      <c r="AM24" s="113"/>
    </row>
    <row r="25" spans="1:39" x14ac:dyDescent="0.25">
      <c r="A25" s="28" t="s">
        <v>28</v>
      </c>
      <c r="B25" s="29">
        <v>1</v>
      </c>
      <c r="C25" s="18">
        <v>1</v>
      </c>
      <c r="D25" s="30" t="str">
        <f>IF($C25="","",VLOOKUP($C25,'IC-Routen'!$A:$F,2))</f>
        <v>418.11</v>
      </c>
      <c r="E25" s="28" t="str">
        <f>IF($C25="","",VLOOKUP(D25,Haltestellen!$A:$C,2))</f>
        <v>Burgstein Gl.1/V</v>
      </c>
      <c r="F25" s="31">
        <f>IF($C25="","",VLOOKUP($C25,'IC-Routen'!$A:$F,6))</f>
        <v>6.9444444444444397E-3</v>
      </c>
      <c r="G25" s="18" t="str">
        <f>IF($C25="","",VLOOKUP($C25,'IC-Routen'!$A:$F,4))</f>
        <v>315.12</v>
      </c>
      <c r="H25" s="28" t="str">
        <f>IF($C25="","",VLOOKUP(G25,Haltestellen!$A:$C,2))</f>
        <v>Altena Gl.1/N</v>
      </c>
      <c r="I25" s="32"/>
      <c r="J25" s="106">
        <v>0.21527777777777801</v>
      </c>
      <c r="K25" s="115">
        <f t="shared" ref="K25:K31" si="39">IF(J25="","",J25+F25)</f>
        <v>0.22222222222222199</v>
      </c>
      <c r="L25" s="116">
        <f>IF($C25="","",K33+VLOOKUP($C33,'IC-Routen'!$A:$J,9)+'IC-Routen'!$H$2)</f>
        <v>0.38194444444444597</v>
      </c>
      <c r="M25" s="115">
        <f t="shared" si="21"/>
        <v>0.38888888888889001</v>
      </c>
      <c r="N25" s="116">
        <f>IF($C25="","",M33+VLOOKUP($C33,'IC-Routen'!$A:$J,9)+'IC-Routen'!$H$2)</f>
        <v>0.54861111111111405</v>
      </c>
      <c r="O25" s="115">
        <f t="shared" si="22"/>
        <v>0.55555555555555802</v>
      </c>
      <c r="P25" s="116">
        <f>IF($C25="","",O33+VLOOKUP($C33,'IC-Routen'!$A:$J,9)+'IC-Routen'!$H$2)</f>
        <v>0.71527777777778201</v>
      </c>
      <c r="Q25" s="115">
        <f t="shared" si="23"/>
        <v>0.72222222222222598</v>
      </c>
      <c r="R25" s="117">
        <f>IF($C25="","",Q33+VLOOKUP($C33,'IC-Routen'!$A:$J,9)+'IC-Routen'!$H$2)</f>
        <v>0.88194444444444997</v>
      </c>
      <c r="S25" s="115">
        <f t="shared" si="24"/>
        <v>0.88888888888889395</v>
      </c>
      <c r="T25" s="117">
        <f>IF($C25="","",S33+VLOOKUP($C33,'IC-Routen'!$A:$J,9)+'IC-Routen'!$H$2)</f>
        <v>1.04861111111112</v>
      </c>
      <c r="U25" s="115">
        <f t="shared" si="25"/>
        <v>1.05555555555556</v>
      </c>
      <c r="V25" s="117"/>
      <c r="W25" s="115" t="str">
        <f t="shared" si="26"/>
        <v/>
      </c>
      <c r="X25" s="117"/>
      <c r="Y25" s="115" t="str">
        <f t="shared" si="7"/>
        <v/>
      </c>
      <c r="Z25" s="117"/>
      <c r="AA25" s="115" t="str">
        <f t="shared" si="8"/>
        <v/>
      </c>
      <c r="AB25" s="117"/>
      <c r="AC25" s="118" t="str">
        <f t="shared" si="9"/>
        <v/>
      </c>
      <c r="AD25" s="111">
        <f t="shared" si="10"/>
        <v>0.21527777777777801</v>
      </c>
      <c r="AE25" s="112">
        <f t="shared" si="11"/>
        <v>0.38194444444444597</v>
      </c>
      <c r="AF25" s="112">
        <f t="shared" si="12"/>
        <v>0.54861111111111405</v>
      </c>
      <c r="AG25" s="112">
        <f t="shared" si="13"/>
        <v>0.71527777777778201</v>
      </c>
      <c r="AH25" s="112">
        <f t="shared" si="14"/>
        <v>0.88194444444444997</v>
      </c>
      <c r="AI25" s="112">
        <f t="shared" si="15"/>
        <v>1.04861111111112</v>
      </c>
      <c r="AJ25" s="112" t="str">
        <f t="shared" si="16"/>
        <v/>
      </c>
      <c r="AK25" s="112" t="str">
        <f t="shared" si="17"/>
        <v/>
      </c>
      <c r="AL25" s="112" t="str">
        <f t="shared" si="18"/>
        <v/>
      </c>
      <c r="AM25" s="113" t="str">
        <f t="shared" si="19"/>
        <v/>
      </c>
    </row>
    <row r="26" spans="1:39" x14ac:dyDescent="0.25">
      <c r="A26" s="28" t="s">
        <v>28</v>
      </c>
      <c r="B26" s="29">
        <v>2</v>
      </c>
      <c r="C26" s="18">
        <v>2</v>
      </c>
      <c r="D26" s="18" t="str">
        <f>IF($C26="","",VLOOKUP($C26,'IC-Routen'!$A:$F,2))</f>
        <v>315.12</v>
      </c>
      <c r="E26" s="28" t="str">
        <f>IF($C26="","",VLOOKUP(D26,Haltestellen!$A:$C,2))</f>
        <v>Altena Gl.1/N</v>
      </c>
      <c r="F26" s="31">
        <f>IF($C26="","",VLOOKUP($C26,'IC-Routen'!$A:$F,6))</f>
        <v>1.0416666666666701E-2</v>
      </c>
      <c r="G26" s="18" t="str">
        <f>IF($C26="","",VLOOKUP($C26,'IC-Routen'!$A:$F,4))</f>
        <v>418.12</v>
      </c>
      <c r="H26" s="28" t="str">
        <f>IF($C26="","",VLOOKUP(G26,Haltestellen!$A:$C,2))</f>
        <v>Burgstein Gl.1/N</v>
      </c>
      <c r="I26" s="32"/>
      <c r="J26" s="119">
        <f>IF($C26="","",K25+VLOOKUP($C25,'IC-Routen'!$A:$J,9))</f>
        <v>0.226388888888889</v>
      </c>
      <c r="K26" s="115">
        <f t="shared" si="39"/>
        <v>0.23680555555555599</v>
      </c>
      <c r="L26" s="116">
        <f>IF($C26="","",M25+VLOOKUP($C25,'IC-Routen'!$A:$J,9))</f>
        <v>0.39305555555555699</v>
      </c>
      <c r="M26" s="115">
        <f t="shared" si="21"/>
        <v>0.40347222222222401</v>
      </c>
      <c r="N26" s="116">
        <f>IF($C26="","",O25+VLOOKUP($C25,'IC-Routen'!$A:$J,9))</f>
        <v>0.55972222222222501</v>
      </c>
      <c r="O26" s="115">
        <f t="shared" si="22"/>
        <v>0.57013888888889197</v>
      </c>
      <c r="P26" s="116">
        <f>IF($C26="","",Q25+VLOOKUP($C25,'IC-Routen'!$A:$J,9))</f>
        <v>0.72638888888889297</v>
      </c>
      <c r="Q26" s="115">
        <f t="shared" si="23"/>
        <v>0.73680555555556004</v>
      </c>
      <c r="R26" s="117">
        <f>IF($C26="","",S25+VLOOKUP($C25,'IC-Routen'!$A:$J,9))</f>
        <v>0.89305555555556104</v>
      </c>
      <c r="S26" s="115">
        <f t="shared" si="24"/>
        <v>0.90347222222222801</v>
      </c>
      <c r="T26" s="117">
        <f>IF($C26="","",U25+VLOOKUP($C25,'IC-Routen'!$A:$J,9))</f>
        <v>1.05972222222223</v>
      </c>
      <c r="U26" s="115">
        <f t="shared" si="25"/>
        <v>1.0701388888889001</v>
      </c>
      <c r="V26" s="117"/>
      <c r="W26" s="115" t="str">
        <f t="shared" si="26"/>
        <v/>
      </c>
      <c r="X26" s="117"/>
      <c r="Y26" s="115" t="str">
        <f t="shared" si="7"/>
        <v/>
      </c>
      <c r="Z26" s="117"/>
      <c r="AA26" s="115" t="str">
        <f t="shared" si="8"/>
        <v/>
      </c>
      <c r="AB26" s="117"/>
      <c r="AC26" s="118" t="str">
        <f t="shared" si="9"/>
        <v/>
      </c>
      <c r="AD26" s="111">
        <f t="shared" si="10"/>
        <v>0.226388888888889</v>
      </c>
      <c r="AE26" s="112">
        <f t="shared" si="11"/>
        <v>0.39305555555555699</v>
      </c>
      <c r="AF26" s="112">
        <f t="shared" si="12"/>
        <v>0.55972222222222501</v>
      </c>
      <c r="AG26" s="112">
        <f t="shared" si="13"/>
        <v>0.72638888888889297</v>
      </c>
      <c r="AH26" s="112">
        <f t="shared" si="14"/>
        <v>0.89305555555556104</v>
      </c>
      <c r="AI26" s="112">
        <f t="shared" si="15"/>
        <v>1.05972222222223</v>
      </c>
      <c r="AJ26" s="112" t="str">
        <f t="shared" si="16"/>
        <v/>
      </c>
      <c r="AK26" s="112" t="str">
        <f t="shared" si="17"/>
        <v/>
      </c>
      <c r="AL26" s="112" t="str">
        <f t="shared" si="18"/>
        <v/>
      </c>
      <c r="AM26" s="113" t="str">
        <f t="shared" si="19"/>
        <v/>
      </c>
    </row>
    <row r="27" spans="1:39" x14ac:dyDescent="0.25">
      <c r="A27" s="28" t="s">
        <v>28</v>
      </c>
      <c r="B27" s="29">
        <v>3</v>
      </c>
      <c r="C27" s="18">
        <v>3</v>
      </c>
      <c r="D27" s="18" t="str">
        <f>IF($C27="","",VLOOKUP($C27,'IC-Routen'!$A:$F,2))</f>
        <v>418.12</v>
      </c>
      <c r="E27" s="28" t="str">
        <f>IF($C27="","",VLOOKUP(D27,Haltestellen!$A:$C,2))</f>
        <v>Burgstein Gl.1/N</v>
      </c>
      <c r="F27" s="31">
        <f>IF($C27="","",VLOOKUP($C27,'IC-Routen'!$A:$F,6))</f>
        <v>1.52777777777778E-2</v>
      </c>
      <c r="G27" s="18" t="str">
        <f>IF($C27="","",VLOOKUP($C27,'IC-Routen'!$A:$F,4))</f>
        <v>418.11</v>
      </c>
      <c r="H27" s="28" t="str">
        <f>IF($C27="","",VLOOKUP(G27,Haltestellen!$A:$C,2))</f>
        <v>Burgstein Gl.1/V</v>
      </c>
      <c r="I27" s="32"/>
      <c r="J27" s="119">
        <f>IF($C27="","",K26+VLOOKUP($C26,'IC-Routen'!$A:$J,9))</f>
        <v>0.240972222222223</v>
      </c>
      <c r="K27" s="115">
        <f t="shared" si="39"/>
        <v>0.25625000000000098</v>
      </c>
      <c r="L27" s="116">
        <f>IF($C27="","",M26+VLOOKUP($C26,'IC-Routen'!$A:$J,9))</f>
        <v>0.40763888888889099</v>
      </c>
      <c r="M27" s="115">
        <f t="shared" si="21"/>
        <v>0.42291666666666899</v>
      </c>
      <c r="N27" s="116">
        <f>IF($C27="","",O26+VLOOKUP($C26,'IC-Routen'!$A:$J,9))</f>
        <v>0.57430555555555896</v>
      </c>
      <c r="O27" s="115">
        <f t="shared" si="22"/>
        <v>0.58958333333333701</v>
      </c>
      <c r="P27" s="116">
        <f>IF($C27="","",Q26+VLOOKUP($C26,'IC-Routen'!$A:$J,9))</f>
        <v>0.74097222222222703</v>
      </c>
      <c r="Q27" s="115">
        <f t="shared" si="23"/>
        <v>0.75625000000000497</v>
      </c>
      <c r="R27" s="117">
        <f>IF($C27="","",S26+VLOOKUP($C26,'IC-Routen'!$A:$J,9))</f>
        <v>0.90763888888889499</v>
      </c>
      <c r="S27" s="115">
        <f t="shared" si="24"/>
        <v>0.92291666666667305</v>
      </c>
      <c r="T27" s="117">
        <f>IF($C27="","",U26+VLOOKUP($C26,'IC-Routen'!$A:$J,9))</f>
        <v>1.0743055555555701</v>
      </c>
      <c r="U27" s="115">
        <f t="shared" si="25"/>
        <v>1.08958333333335</v>
      </c>
      <c r="V27" s="117"/>
      <c r="W27" s="115" t="str">
        <f t="shared" si="26"/>
        <v/>
      </c>
      <c r="X27" s="117"/>
      <c r="Y27" s="115" t="str">
        <f t="shared" si="7"/>
        <v/>
      </c>
      <c r="Z27" s="117"/>
      <c r="AA27" s="115" t="str">
        <f t="shared" si="8"/>
        <v/>
      </c>
      <c r="AB27" s="117"/>
      <c r="AC27" s="118" t="str">
        <f t="shared" si="9"/>
        <v/>
      </c>
      <c r="AD27" s="111">
        <f t="shared" si="10"/>
        <v>0.240972222222223</v>
      </c>
      <c r="AE27" s="112">
        <f t="shared" si="11"/>
        <v>0.40763888888889099</v>
      </c>
      <c r="AF27" s="112">
        <f t="shared" si="12"/>
        <v>0.57430555555555896</v>
      </c>
      <c r="AG27" s="112">
        <f t="shared" si="13"/>
        <v>0.74097222222222703</v>
      </c>
      <c r="AH27" s="112">
        <f t="shared" si="14"/>
        <v>0.90763888888889499</v>
      </c>
      <c r="AI27" s="112">
        <f t="shared" si="15"/>
        <v>1.0743055555555701</v>
      </c>
      <c r="AJ27" s="112" t="str">
        <f t="shared" si="16"/>
        <v/>
      </c>
      <c r="AK27" s="112" t="str">
        <f t="shared" si="17"/>
        <v/>
      </c>
      <c r="AL27" s="112" t="str">
        <f t="shared" si="18"/>
        <v/>
      </c>
      <c r="AM27" s="113" t="str">
        <f t="shared" si="19"/>
        <v/>
      </c>
    </row>
    <row r="28" spans="1:39" x14ac:dyDescent="0.25">
      <c r="A28" s="28" t="s">
        <v>28</v>
      </c>
      <c r="B28" s="29">
        <v>4</v>
      </c>
      <c r="C28" s="18">
        <v>4</v>
      </c>
      <c r="D28" s="18" t="str">
        <f>IF($C28="","",VLOOKUP($C28,'IC-Routen'!$A:$F,2))</f>
        <v>418.11</v>
      </c>
      <c r="E28" s="28" t="str">
        <f>IF($C28="","",VLOOKUP(D28,Haltestellen!$A:$C,2))</f>
        <v>Burgstein Gl.1/V</v>
      </c>
      <c r="F28" s="31">
        <f>IF($C28="","",VLOOKUP($C28,'IC-Routen'!$A:$F,6))</f>
        <v>9.7222222222222206E-3</v>
      </c>
      <c r="G28" s="18" t="str">
        <f>IF($C28="","",VLOOKUP($C28,'IC-Routen'!$A:$F,4))</f>
        <v>315.11</v>
      </c>
      <c r="H28" s="28" t="str">
        <f>IF($C28="","",VLOOKUP(G28,Haltestellen!$A:$C,2))</f>
        <v>Altena Gl.1/V</v>
      </c>
      <c r="I28" s="32"/>
      <c r="J28" s="119">
        <f>IF($C28="","",K27+VLOOKUP($C27,'IC-Routen'!$A:$J,9))</f>
        <v>0.26041666666666802</v>
      </c>
      <c r="K28" s="115">
        <f t="shared" si="39"/>
        <v>0.27013888888888998</v>
      </c>
      <c r="L28" s="116">
        <f>IF($C28="","",M27+VLOOKUP($C27,'IC-Routen'!$A:$J,9))</f>
        <v>0.42708333333333598</v>
      </c>
      <c r="M28" s="115">
        <f t="shared" si="21"/>
        <v>0.436805555555558</v>
      </c>
      <c r="N28" s="116">
        <f>IF($C28="","",O27+VLOOKUP($C27,'IC-Routen'!$A:$J,9))</f>
        <v>0.593750000000004</v>
      </c>
      <c r="O28" s="115">
        <f t="shared" si="22"/>
        <v>0.60347222222222596</v>
      </c>
      <c r="P28" s="116">
        <f>IF($C28="","",Q27+VLOOKUP($C27,'IC-Routen'!$A:$J,9))</f>
        <v>0.76041666666667196</v>
      </c>
      <c r="Q28" s="115">
        <f t="shared" si="23"/>
        <v>0.77013888888889404</v>
      </c>
      <c r="R28" s="117">
        <f>IF($C28="","",S27+VLOOKUP($C27,'IC-Routen'!$A:$J,9))</f>
        <v>0.92708333333334003</v>
      </c>
      <c r="S28" s="115">
        <f t="shared" si="24"/>
        <v>0.936805555555562</v>
      </c>
      <c r="T28" s="117">
        <f>IF($C28="","",U27+VLOOKUP($C27,'IC-Routen'!$A:$J,9))</f>
        <v>1.09375000000002</v>
      </c>
      <c r="U28" s="115">
        <f t="shared" si="25"/>
        <v>1.10347222222224</v>
      </c>
      <c r="V28" s="117"/>
      <c r="W28" s="115" t="str">
        <f t="shared" si="26"/>
        <v/>
      </c>
      <c r="X28" s="117"/>
      <c r="Y28" s="115" t="str">
        <f t="shared" si="7"/>
        <v/>
      </c>
      <c r="Z28" s="117"/>
      <c r="AA28" s="115" t="str">
        <f t="shared" si="8"/>
        <v/>
      </c>
      <c r="AB28" s="117"/>
      <c r="AC28" s="118" t="str">
        <f t="shared" si="9"/>
        <v/>
      </c>
      <c r="AD28" s="111">
        <f t="shared" si="10"/>
        <v>0.26041666666666802</v>
      </c>
      <c r="AE28" s="112">
        <f t="shared" si="11"/>
        <v>0.42708333333333598</v>
      </c>
      <c r="AF28" s="112">
        <f t="shared" si="12"/>
        <v>0.593750000000004</v>
      </c>
      <c r="AG28" s="112">
        <f t="shared" si="13"/>
        <v>0.76041666666667196</v>
      </c>
      <c r="AH28" s="112">
        <f t="shared" si="14"/>
        <v>0.92708333333334003</v>
      </c>
      <c r="AI28" s="112">
        <f t="shared" si="15"/>
        <v>1.09375000000002</v>
      </c>
      <c r="AJ28" s="112" t="str">
        <f t="shared" si="16"/>
        <v/>
      </c>
      <c r="AK28" s="112" t="str">
        <f t="shared" si="17"/>
        <v/>
      </c>
      <c r="AL28" s="112" t="str">
        <f t="shared" si="18"/>
        <v/>
      </c>
      <c r="AM28" s="113" t="str">
        <f t="shared" si="19"/>
        <v/>
      </c>
    </row>
    <row r="29" spans="1:39" x14ac:dyDescent="0.25">
      <c r="A29" s="28" t="s">
        <v>28</v>
      </c>
      <c r="B29" s="29">
        <v>5</v>
      </c>
      <c r="C29" s="18">
        <v>5</v>
      </c>
      <c r="D29" s="18" t="str">
        <f>IF($C29="","",VLOOKUP($C29,'IC-Routen'!$A:$F,2))</f>
        <v>315.11</v>
      </c>
      <c r="E29" s="28" t="str">
        <f>IF($C29="","",VLOOKUP(D29,Haltestellen!$A:$C,2))</f>
        <v>Altena Gl.1/V</v>
      </c>
      <c r="F29" s="31">
        <f>IF($C29="","",VLOOKUP($C29,'IC-Routen'!$A:$F,6))</f>
        <v>1.0416666666666701E-2</v>
      </c>
      <c r="G29" s="18" t="str">
        <f>IF($C29="","",VLOOKUP($C29,'IC-Routen'!$A:$F,4))</f>
        <v>112.12</v>
      </c>
      <c r="H29" s="28" t="str">
        <f>IF($C29="","",VLOOKUP(G29,Haltestellen!$A:$C,2))</f>
        <v>Altstadt Gl.2/N</v>
      </c>
      <c r="I29" s="32"/>
      <c r="J29" s="119">
        <f>IF($C29="","",K28+VLOOKUP($C28,'IC-Routen'!$A:$J,9))</f>
        <v>0.27430555555555702</v>
      </c>
      <c r="K29" s="115">
        <f t="shared" si="39"/>
        <v>0.28472222222222399</v>
      </c>
      <c r="L29" s="116">
        <f>IF($C29="","",M28+VLOOKUP($C28,'IC-Routen'!$A:$J,9))</f>
        <v>0.44097222222222499</v>
      </c>
      <c r="M29" s="115">
        <f t="shared" si="21"/>
        <v>0.451388888888892</v>
      </c>
      <c r="N29" s="116">
        <f>IF($C29="","",O28+VLOOKUP($C28,'IC-Routen'!$A:$J,9))</f>
        <v>0.60763888888889295</v>
      </c>
      <c r="O29" s="115">
        <f t="shared" si="22"/>
        <v>0.61805555555556002</v>
      </c>
      <c r="P29" s="116">
        <f>IF($C29="","",Q28+VLOOKUP($C28,'IC-Routen'!$A:$J,9))</f>
        <v>0.77430555555556102</v>
      </c>
      <c r="Q29" s="115">
        <f t="shared" si="23"/>
        <v>0.78472222222222798</v>
      </c>
      <c r="R29" s="117">
        <f>IF($C29="","",S28+VLOOKUP($C28,'IC-Routen'!$A:$J,9))</f>
        <v>0.94097222222222898</v>
      </c>
      <c r="S29" s="115">
        <f t="shared" si="24"/>
        <v>0.95138888888889594</v>
      </c>
      <c r="T29" s="117">
        <f>IF($C29="","",U28+VLOOKUP($C28,'IC-Routen'!$A:$J,9))</f>
        <v>1.1076388888889099</v>
      </c>
      <c r="U29" s="115">
        <f t="shared" si="25"/>
        <v>1.11805555555558</v>
      </c>
      <c r="V29" s="117"/>
      <c r="W29" s="115" t="str">
        <f t="shared" si="26"/>
        <v/>
      </c>
      <c r="X29" s="117"/>
      <c r="Y29" s="115" t="str">
        <f t="shared" si="7"/>
        <v/>
      </c>
      <c r="Z29" s="117"/>
      <c r="AA29" s="115" t="str">
        <f t="shared" si="8"/>
        <v/>
      </c>
      <c r="AB29" s="117"/>
      <c r="AC29" s="118" t="str">
        <f t="shared" si="9"/>
        <v/>
      </c>
      <c r="AD29" s="111">
        <f t="shared" si="10"/>
        <v>0.27430555555555702</v>
      </c>
      <c r="AE29" s="112">
        <f t="shared" si="11"/>
        <v>0.44097222222222499</v>
      </c>
      <c r="AF29" s="112">
        <f t="shared" si="12"/>
        <v>0.60763888888889295</v>
      </c>
      <c r="AG29" s="112">
        <f t="shared" si="13"/>
        <v>0.77430555555556102</v>
      </c>
      <c r="AH29" s="112">
        <f t="shared" si="14"/>
        <v>0.94097222222222898</v>
      </c>
      <c r="AI29" s="112">
        <f t="shared" si="15"/>
        <v>1.1076388888889099</v>
      </c>
      <c r="AJ29" s="112" t="str">
        <f t="shared" si="16"/>
        <v/>
      </c>
      <c r="AK29" s="112" t="str">
        <f t="shared" si="17"/>
        <v/>
      </c>
      <c r="AL29" s="112" t="str">
        <f t="shared" si="18"/>
        <v/>
      </c>
      <c r="AM29" s="113" t="str">
        <f t="shared" si="19"/>
        <v/>
      </c>
    </row>
    <row r="30" spans="1:39" x14ac:dyDescent="0.25">
      <c r="A30" s="28" t="s">
        <v>28</v>
      </c>
      <c r="B30" s="29">
        <v>6</v>
      </c>
      <c r="C30" s="18">
        <v>6</v>
      </c>
      <c r="D30" s="18" t="str">
        <f>IF($C30="","",VLOOKUP($C30,'IC-Routen'!$A:$F,2))</f>
        <v>112.12</v>
      </c>
      <c r="E30" s="28" t="str">
        <f>IF($C30="","",VLOOKUP(D30,Haltestellen!$A:$C,2))</f>
        <v>Altstadt Gl.2/N</v>
      </c>
      <c r="F30" s="31">
        <f>IF($C30="","",VLOOKUP($C30,'IC-Routen'!$A:$F,6))</f>
        <v>1.7361111111111101E-2</v>
      </c>
      <c r="G30" s="18" t="str">
        <f>IF($C30="","",VLOOKUP($C30,'IC-Routen'!$A:$F,4))</f>
        <v>418.12</v>
      </c>
      <c r="H30" s="28" t="str">
        <f>IF($C30="","",VLOOKUP(G30,Haltestellen!$A:$C,2))</f>
        <v>Burgstein Gl.1/N</v>
      </c>
      <c r="I30" s="32"/>
      <c r="J30" s="119">
        <f>IF($C30="","",K29+VLOOKUP($C29,'IC-Routen'!$A:$J,9))</f>
        <v>0.29166666666666802</v>
      </c>
      <c r="K30" s="115">
        <f t="shared" si="39"/>
        <v>0.30902777777777901</v>
      </c>
      <c r="L30" s="116">
        <f>IF($C30="","",M29+VLOOKUP($C29,'IC-Routen'!$A:$J,9))</f>
        <v>0.45833333333333598</v>
      </c>
      <c r="M30" s="115">
        <f t="shared" si="21"/>
        <v>0.47569444444444697</v>
      </c>
      <c r="N30" s="116">
        <f>IF($C30="","",O29+VLOOKUP($C29,'IC-Routen'!$A:$J,9))</f>
        <v>0.625000000000004</v>
      </c>
      <c r="O30" s="115">
        <f t="shared" si="22"/>
        <v>0.64236111111111505</v>
      </c>
      <c r="P30" s="116">
        <f>IF($C30="","",Q29+VLOOKUP($C29,'IC-Routen'!$A:$J,9))</f>
        <v>0.79166666666667196</v>
      </c>
      <c r="Q30" s="115">
        <f t="shared" si="23"/>
        <v>0.80902777777778301</v>
      </c>
      <c r="R30" s="117">
        <f>IF($C30="","",S29+VLOOKUP($C29,'IC-Routen'!$A:$J,9))</f>
        <v>0.95833333333334003</v>
      </c>
      <c r="S30" s="115">
        <f t="shared" si="24"/>
        <v>0.97569444444445097</v>
      </c>
      <c r="T30" s="117">
        <f>IF($C30="","",U29+VLOOKUP($C29,'IC-Routen'!$A:$J,9))</f>
        <v>1.12500000000002</v>
      </c>
      <c r="U30" s="115">
        <f t="shared" si="25"/>
        <v>1.14236111111113</v>
      </c>
      <c r="V30" s="117"/>
      <c r="W30" s="115" t="str">
        <f t="shared" si="26"/>
        <v/>
      </c>
      <c r="X30" s="117"/>
      <c r="Y30" s="115" t="str">
        <f t="shared" si="7"/>
        <v/>
      </c>
      <c r="Z30" s="117"/>
      <c r="AA30" s="115" t="str">
        <f t="shared" si="8"/>
        <v/>
      </c>
      <c r="AB30" s="117"/>
      <c r="AC30" s="118" t="str">
        <f t="shared" si="9"/>
        <v/>
      </c>
      <c r="AD30" s="111">
        <f t="shared" si="10"/>
        <v>0.29166666666666802</v>
      </c>
      <c r="AE30" s="112">
        <f t="shared" si="11"/>
        <v>0.45833333333333598</v>
      </c>
      <c r="AF30" s="112">
        <f t="shared" si="12"/>
        <v>0.625000000000004</v>
      </c>
      <c r="AG30" s="112">
        <f t="shared" si="13"/>
        <v>0.79166666666667196</v>
      </c>
      <c r="AH30" s="112">
        <f t="shared" si="14"/>
        <v>0.95833333333334003</v>
      </c>
      <c r="AI30" s="112">
        <f t="shared" si="15"/>
        <v>1.12500000000002</v>
      </c>
      <c r="AJ30" s="112" t="str">
        <f t="shared" si="16"/>
        <v/>
      </c>
      <c r="AK30" s="112" t="str">
        <f t="shared" si="17"/>
        <v/>
      </c>
      <c r="AL30" s="112" t="str">
        <f t="shared" si="18"/>
        <v/>
      </c>
      <c r="AM30" s="113" t="str">
        <f t="shared" si="19"/>
        <v/>
      </c>
    </row>
    <row r="31" spans="1:39" x14ac:dyDescent="0.25">
      <c r="A31" s="28" t="s">
        <v>28</v>
      </c>
      <c r="B31" s="29">
        <v>7</v>
      </c>
      <c r="C31" s="18">
        <v>7</v>
      </c>
      <c r="D31" s="18" t="str">
        <f>IF($C31="","",VLOOKUP($C31,'IC-Routen'!$A:$F,2))</f>
        <v>418.12</v>
      </c>
      <c r="E31" s="28" t="str">
        <f>IF($C31="","",VLOOKUP(D31,Haltestellen!$A:$C,2))</f>
        <v>Burgstein Gl.1/N</v>
      </c>
      <c r="F31" s="31">
        <f>IF($C31="","",VLOOKUP($C31,'IC-Routen'!$A:$F,6))</f>
        <v>1.0416666666666701E-2</v>
      </c>
      <c r="G31" s="18" t="str">
        <f>IF($C31="","",VLOOKUP($C31,'IC-Routen'!$A:$F,4))</f>
        <v>112.12</v>
      </c>
      <c r="H31" s="28" t="str">
        <f>IF($C31="","",VLOOKUP(G31,Haltestellen!$A:$C,2))</f>
        <v>Altstadt Gl.2/N</v>
      </c>
      <c r="I31" s="32"/>
      <c r="J31" s="119">
        <f>IF($C31="","",K30+VLOOKUP($C30,'IC-Routen'!$A:$J,9))</f>
        <v>0.313194444444446</v>
      </c>
      <c r="K31" s="115">
        <f t="shared" si="39"/>
        <v>0.32361111111111301</v>
      </c>
      <c r="L31" s="116">
        <f>IF($C31="","",M30+VLOOKUP($C30,'IC-Routen'!$A:$J,9))</f>
        <v>0.47986111111111401</v>
      </c>
      <c r="M31" s="115">
        <f t="shared" si="21"/>
        <v>0.49027777777778098</v>
      </c>
      <c r="N31" s="116">
        <f>IF($C31="","",O30+VLOOKUP($C30,'IC-Routen'!$A:$J,9))</f>
        <v>0.64652777777778203</v>
      </c>
      <c r="O31" s="115">
        <f t="shared" si="22"/>
        <v>0.65694444444444899</v>
      </c>
      <c r="P31" s="116">
        <f>IF($C31="","",Q30+VLOOKUP($C30,'IC-Routen'!$A:$J,9))</f>
        <v>0.81319444444444999</v>
      </c>
      <c r="Q31" s="115">
        <f t="shared" si="23"/>
        <v>0.82361111111111696</v>
      </c>
      <c r="R31" s="117">
        <f>IF($C31="","",S30+VLOOKUP($C30,'IC-Routen'!$A:$J,9))</f>
        <v>0.97986111111111796</v>
      </c>
      <c r="S31" s="115">
        <f t="shared" si="24"/>
        <v>0.99027777777778503</v>
      </c>
      <c r="T31" s="117">
        <f>IF($C31="","",U30+VLOOKUP($C30,'IC-Routen'!$A:$J,9))</f>
        <v>1.1465277777778</v>
      </c>
      <c r="U31" s="115">
        <f t="shared" si="25"/>
        <v>1.1569444444444701</v>
      </c>
      <c r="V31" s="117"/>
      <c r="W31" s="115" t="str">
        <f t="shared" si="26"/>
        <v/>
      </c>
      <c r="X31" s="117"/>
      <c r="Y31" s="115" t="str">
        <f t="shared" si="7"/>
        <v/>
      </c>
      <c r="Z31" s="117"/>
      <c r="AA31" s="115" t="str">
        <f t="shared" si="8"/>
        <v/>
      </c>
      <c r="AB31" s="117"/>
      <c r="AC31" s="118" t="str">
        <f t="shared" si="9"/>
        <v/>
      </c>
      <c r="AD31" s="111">
        <f t="shared" si="10"/>
        <v>0.313194444444446</v>
      </c>
      <c r="AE31" s="112">
        <f t="shared" si="11"/>
        <v>0.47986111111111401</v>
      </c>
      <c r="AF31" s="112">
        <f t="shared" si="12"/>
        <v>0.64652777777778203</v>
      </c>
      <c r="AG31" s="112">
        <f t="shared" si="13"/>
        <v>0.81319444444444999</v>
      </c>
      <c r="AH31" s="112">
        <f t="shared" si="14"/>
        <v>0.97986111111111796</v>
      </c>
      <c r="AI31" s="112">
        <f t="shared" si="15"/>
        <v>1.1465277777778</v>
      </c>
      <c r="AJ31" s="112" t="str">
        <f t="shared" si="16"/>
        <v/>
      </c>
      <c r="AK31" s="112" t="str">
        <f t="shared" si="17"/>
        <v/>
      </c>
      <c r="AL31" s="112" t="str">
        <f t="shared" si="18"/>
        <v/>
      </c>
      <c r="AM31" s="113" t="str">
        <f t="shared" si="19"/>
        <v/>
      </c>
    </row>
    <row r="32" spans="1:39" x14ac:dyDescent="0.25">
      <c r="A32" s="28" t="s">
        <v>28</v>
      </c>
      <c r="B32" s="29">
        <v>8</v>
      </c>
      <c r="C32" s="18">
        <v>10</v>
      </c>
      <c r="D32" s="18" t="str">
        <f>IF($C32="","",VLOOKUP($C32,'IC-Routen'!$A:$F,2))</f>
        <v>112.12</v>
      </c>
      <c r="E32" s="28" t="str">
        <f>IF($C32="","",VLOOKUP(D32,Haltestellen!$A:$C,2))</f>
        <v>Altstadt Gl.2/N</v>
      </c>
      <c r="F32" s="31">
        <f>IF($C32="","",VLOOKUP($C32,'IC-Routen'!$A:$F,6))</f>
        <v>1.7361111111111101E-2</v>
      </c>
      <c r="G32" s="18" t="str">
        <f>IF($C32="","",VLOOKUP($C32,'IC-Routen'!$A:$F,4))</f>
        <v>315.11</v>
      </c>
      <c r="H32" s="28" t="str">
        <f>IF($C32="","",VLOOKUP(G32,Haltestellen!$A:$C,2))</f>
        <v>Altena Gl.1/V</v>
      </c>
      <c r="I32" s="32"/>
      <c r="J32" s="119">
        <f>IF($C32="","",K31+VLOOKUP($C31,'IC-Routen'!$A:$J,9))</f>
        <v>0.33055555555555699</v>
      </c>
      <c r="K32" s="115">
        <f t="shared" ref="K32:K33" si="40">IF(J32="","",J32+F32)</f>
        <v>0.34791666666666798</v>
      </c>
      <c r="L32" s="116">
        <f>IF($C32="","",M31+VLOOKUP($C31,'IC-Routen'!$A:$J,9))</f>
        <v>0.49722222222222501</v>
      </c>
      <c r="M32" s="115">
        <f t="shared" ref="M32:M33" si="41">IF(L32="","",L32+$F32)</f>
        <v>0.51458333333333595</v>
      </c>
      <c r="N32" s="116">
        <f>IF($C32="","",O31+VLOOKUP($C31,'IC-Routen'!$A:$J,9))</f>
        <v>0.66388888888889297</v>
      </c>
      <c r="O32" s="115">
        <f t="shared" ref="O32:O33" si="42">IF(N32="","",N32+$F32)</f>
        <v>0.68125000000000402</v>
      </c>
      <c r="P32" s="116">
        <f>IF($C32="","",Q31+VLOOKUP($C31,'IC-Routen'!$A:$J,9))</f>
        <v>0.83055555555556104</v>
      </c>
      <c r="Q32" s="115">
        <f t="shared" ref="Q32:Q33" si="43">IF(P32="","",P32+$F32)</f>
        <v>0.84791666666667198</v>
      </c>
      <c r="R32" s="117">
        <f>IF($C32="","",S31+VLOOKUP($C31,'IC-Routen'!$A:$J,9))</f>
        <v>0.997222222222229</v>
      </c>
      <c r="S32" s="115">
        <f t="shared" ref="S32:S33" si="44">IF(R32="","",R32+$F32)</f>
        <v>1.0145833333333401</v>
      </c>
      <c r="T32" s="117">
        <f>IF($C32="","",U31+VLOOKUP($C31,'IC-Routen'!$A:$J,9))</f>
        <v>1.1638888888889101</v>
      </c>
      <c r="U32" s="115">
        <f t="shared" ref="U32:U33" si="45">IF(T32="","",T32+$F32)</f>
        <v>1.1812500000000199</v>
      </c>
      <c r="V32" s="117"/>
      <c r="W32" s="115" t="str">
        <f t="shared" si="26"/>
        <v/>
      </c>
      <c r="X32" s="117"/>
      <c r="Y32" s="115" t="str">
        <f t="shared" si="7"/>
        <v/>
      </c>
      <c r="Z32" s="117"/>
      <c r="AA32" s="115" t="str">
        <f t="shared" si="8"/>
        <v/>
      </c>
      <c r="AB32" s="117"/>
      <c r="AC32" s="118" t="str">
        <f t="shared" si="9"/>
        <v/>
      </c>
      <c r="AD32" s="111">
        <f t="shared" si="10"/>
        <v>0.33055555555555699</v>
      </c>
      <c r="AE32" s="112">
        <f t="shared" si="11"/>
        <v>0.49722222222222501</v>
      </c>
      <c r="AF32" s="112">
        <f t="shared" si="12"/>
        <v>0.66388888888889297</v>
      </c>
      <c r="AG32" s="112">
        <f t="shared" si="13"/>
        <v>0.83055555555556104</v>
      </c>
      <c r="AH32" s="112">
        <f t="shared" si="14"/>
        <v>0.997222222222229</v>
      </c>
      <c r="AI32" s="112">
        <f t="shared" si="15"/>
        <v>1.1638888888889101</v>
      </c>
      <c r="AJ32" s="112" t="str">
        <f t="shared" si="16"/>
        <v/>
      </c>
      <c r="AK32" s="112" t="str">
        <f t="shared" si="17"/>
        <v/>
      </c>
      <c r="AL32" s="112" t="str">
        <f t="shared" si="18"/>
        <v/>
      </c>
      <c r="AM32" s="113" t="str">
        <f t="shared" si="19"/>
        <v/>
      </c>
    </row>
    <row r="33" spans="1:39" x14ac:dyDescent="0.25">
      <c r="A33" s="28" t="s">
        <v>28</v>
      </c>
      <c r="B33" s="29">
        <v>9</v>
      </c>
      <c r="C33" s="18">
        <v>9</v>
      </c>
      <c r="D33" s="18" t="str">
        <f>IF($C33="","",VLOOKUP($C33,'IC-Routen'!$A:$F,2))</f>
        <v>315.11</v>
      </c>
      <c r="E33" s="28" t="str">
        <f>IF($C33="","",VLOOKUP(D33,Haltestellen!$A:$C,2))</f>
        <v>Altena Gl.1/V</v>
      </c>
      <c r="F33" s="31">
        <f>IF($C33="","",VLOOKUP($C33,'IC-Routen'!$A:$F,6))</f>
        <v>2.0833333333333301E-2</v>
      </c>
      <c r="G33" s="18" t="str">
        <f>IF($C33="","",VLOOKUP($C33,'IC-Routen'!$A:$F,4))</f>
        <v>418.11</v>
      </c>
      <c r="H33" s="28" t="str">
        <f>IF($C33="","",VLOOKUP(G33,Haltestellen!$A:$C,2))</f>
        <v>Burgstein Gl.1/V</v>
      </c>
      <c r="I33" s="32"/>
      <c r="J33" s="119">
        <f>IF($C33="","",K32+VLOOKUP($C32,'IC-Routen'!$A:$J,9))</f>
        <v>0.35208333333333502</v>
      </c>
      <c r="K33" s="115">
        <f t="shared" si="40"/>
        <v>0.37291666666666801</v>
      </c>
      <c r="L33" s="116">
        <f>IF($C33="","",M32+VLOOKUP($C32,'IC-Routen'!$A:$J,9))</f>
        <v>0.51875000000000304</v>
      </c>
      <c r="M33" s="115">
        <f t="shared" si="41"/>
        <v>0.53958333333333597</v>
      </c>
      <c r="N33" s="116">
        <f>IF($C33="","",O32+VLOOKUP($C32,'IC-Routen'!$A:$J,9))</f>
        <v>0.685416666666671</v>
      </c>
      <c r="O33" s="115">
        <f t="shared" si="42"/>
        <v>0.70625000000000404</v>
      </c>
      <c r="P33" s="116">
        <f>IF($C33="","",Q32+VLOOKUP($C32,'IC-Routen'!$A:$J,9))</f>
        <v>0.85208333333333897</v>
      </c>
      <c r="Q33" s="115">
        <f t="shared" si="43"/>
        <v>0.872916666666672</v>
      </c>
      <c r="R33" s="117">
        <f>IF($C33="","",S32+VLOOKUP($C32,'IC-Routen'!$A:$J,9))</f>
        <v>1.01875000000001</v>
      </c>
      <c r="S33" s="115">
        <f t="shared" si="44"/>
        <v>1.03958333333334</v>
      </c>
      <c r="T33" s="117">
        <f>IF($C33="","",U32+VLOOKUP($C32,'IC-Routen'!$A:$J,9))</f>
        <v>1.1854166666666901</v>
      </c>
      <c r="U33" s="115">
        <f t="shared" si="45"/>
        <v>1.20625000000002</v>
      </c>
      <c r="V33" s="117"/>
      <c r="W33" s="115"/>
      <c r="X33" s="117"/>
      <c r="Y33" s="115"/>
      <c r="Z33" s="117"/>
      <c r="AA33" s="115"/>
      <c r="AB33" s="117"/>
      <c r="AC33" s="118"/>
      <c r="AD33" s="111">
        <f t="shared" ref="AD33:AD35" si="46">IF(J33="","",J33)</f>
        <v>0.35208333333333502</v>
      </c>
      <c r="AE33" s="112">
        <f t="shared" ref="AE33:AE35" si="47">IF(L33="","",L33)</f>
        <v>0.51875000000000304</v>
      </c>
      <c r="AF33" s="112">
        <f t="shared" ref="AF33:AF35" si="48">IF(N33="","",N33)</f>
        <v>0.685416666666671</v>
      </c>
      <c r="AG33" s="112">
        <f t="shared" ref="AG33:AG35" si="49">IF(P33="","",P33)</f>
        <v>0.85208333333333897</v>
      </c>
      <c r="AH33" s="112">
        <f t="shared" ref="AH33:AH35" si="50">IF(R33="","",R33)</f>
        <v>1.01875000000001</v>
      </c>
      <c r="AI33" s="112">
        <f t="shared" ref="AI33:AI35" si="51">IF(T33="","",T33)</f>
        <v>1.1854166666666901</v>
      </c>
      <c r="AJ33" s="112"/>
      <c r="AK33" s="112"/>
      <c r="AL33" s="112"/>
      <c r="AM33" s="113"/>
    </row>
    <row r="34" spans="1:39" x14ac:dyDescent="0.25">
      <c r="A34" s="28" t="s">
        <v>28</v>
      </c>
      <c r="B34" s="29">
        <v>10</v>
      </c>
      <c r="C34" s="18"/>
      <c r="D34" s="18" t="str">
        <f>IF($C34="","",VLOOKUP($C34,'IC-Routen'!$A:$F,2))</f>
        <v/>
      </c>
      <c r="E34" s="28" t="str">
        <f>IF($C34="","",VLOOKUP(D34,Haltestellen!$A:$C,2))</f>
        <v/>
      </c>
      <c r="F34" s="31" t="str">
        <f>IF($C34="","",VLOOKUP($C34,'IC-Routen'!$A:$F,6))</f>
        <v/>
      </c>
      <c r="G34" s="18" t="str">
        <f>IF($C34="","",VLOOKUP($C34,'IC-Routen'!$A:$F,4))</f>
        <v/>
      </c>
      <c r="H34" s="28" t="str">
        <f>IF($C34="","",VLOOKUP(G34,Haltestellen!$A:$C,2))</f>
        <v/>
      </c>
      <c r="I34" s="32"/>
      <c r="J34" s="119"/>
      <c r="K34" s="115"/>
      <c r="L34" s="116"/>
      <c r="M34" s="115"/>
      <c r="N34" s="116"/>
      <c r="O34" s="115"/>
      <c r="P34" s="116"/>
      <c r="Q34" s="115"/>
      <c r="R34" s="117"/>
      <c r="S34" s="115"/>
      <c r="T34" s="117"/>
      <c r="U34" s="115"/>
      <c r="V34" s="117"/>
      <c r="W34" s="115"/>
      <c r="X34" s="117"/>
      <c r="Y34" s="115"/>
      <c r="Z34" s="117"/>
      <c r="AA34" s="115"/>
      <c r="AB34" s="117"/>
      <c r="AC34" s="118"/>
      <c r="AD34" s="111" t="str">
        <f t="shared" si="46"/>
        <v/>
      </c>
      <c r="AE34" s="112" t="str">
        <f t="shared" si="47"/>
        <v/>
      </c>
      <c r="AF34" s="112" t="str">
        <f t="shared" si="48"/>
        <v/>
      </c>
      <c r="AG34" s="112" t="str">
        <f t="shared" si="49"/>
        <v/>
      </c>
      <c r="AH34" s="112" t="str">
        <f t="shared" si="50"/>
        <v/>
      </c>
      <c r="AI34" s="112" t="str">
        <f t="shared" si="51"/>
        <v/>
      </c>
      <c r="AJ34" s="112"/>
      <c r="AK34" s="112"/>
      <c r="AL34" s="112"/>
      <c r="AM34" s="113"/>
    </row>
    <row r="35" spans="1:39" x14ac:dyDescent="0.25">
      <c r="A35" s="28" t="s">
        <v>28</v>
      </c>
      <c r="B35" s="29">
        <v>11</v>
      </c>
      <c r="C35" s="18"/>
      <c r="D35" s="18" t="str">
        <f>IF($C35="","",VLOOKUP($C35,'IC-Routen'!$A:$F,2))</f>
        <v/>
      </c>
      <c r="E35" s="28" t="str">
        <f>IF($C35="","",VLOOKUP(D35,Haltestellen!$A:$C,2))</f>
        <v/>
      </c>
      <c r="F35" s="31" t="str">
        <f>IF($C35="","",VLOOKUP($C35,'IC-Routen'!$A:$F,6))</f>
        <v/>
      </c>
      <c r="G35" s="18" t="str">
        <f>IF($C35="","",VLOOKUP($C35,'IC-Routen'!$A:$F,4))</f>
        <v/>
      </c>
      <c r="H35" s="28" t="str">
        <f>IF($C35="","",VLOOKUP(G35,Haltestellen!$A:$C,2))</f>
        <v/>
      </c>
      <c r="I35" s="32"/>
      <c r="J35" s="119"/>
      <c r="K35" s="115"/>
      <c r="L35" s="116"/>
      <c r="M35" s="115"/>
      <c r="N35" s="116"/>
      <c r="O35" s="115"/>
      <c r="P35" s="116"/>
      <c r="Q35" s="115"/>
      <c r="R35" s="117"/>
      <c r="S35" s="115"/>
      <c r="T35" s="117"/>
      <c r="U35" s="115"/>
      <c r="V35" s="117"/>
      <c r="W35" s="115"/>
      <c r="X35" s="117"/>
      <c r="Y35" s="115"/>
      <c r="Z35" s="117"/>
      <c r="AA35" s="115"/>
      <c r="AB35" s="117"/>
      <c r="AC35" s="118"/>
      <c r="AD35" s="111" t="str">
        <f t="shared" si="46"/>
        <v/>
      </c>
      <c r="AE35" s="112" t="str">
        <f t="shared" si="47"/>
        <v/>
      </c>
      <c r="AF35" s="112" t="str">
        <f t="shared" si="48"/>
        <v/>
      </c>
      <c r="AG35" s="112" t="str">
        <f t="shared" si="49"/>
        <v/>
      </c>
      <c r="AH35" s="112" t="str">
        <f t="shared" si="50"/>
        <v/>
      </c>
      <c r="AI35" s="112" t="str">
        <f t="shared" si="51"/>
        <v/>
      </c>
      <c r="AJ35" s="112"/>
      <c r="AK35" s="112"/>
      <c r="AL35" s="112"/>
      <c r="AM35" s="113"/>
    </row>
    <row r="36" spans="1:39" x14ac:dyDescent="0.25">
      <c r="A36" s="36" t="s">
        <v>30</v>
      </c>
      <c r="B36" s="37">
        <v>1</v>
      </c>
      <c r="C36" s="38">
        <v>1</v>
      </c>
      <c r="D36" s="39" t="str">
        <f>IF($C36="","",VLOOKUP($C36,'R-Lok-Routen'!$A:$F,2))</f>
        <v>314.12</v>
      </c>
      <c r="E36" s="36" t="str">
        <f>IF(B36="","",VLOOKUP(D36,Haltestellen!$A:$C,2)&amp;" Gl."&amp;VLOOKUP(D36,Haltestellen!$A:$C,3))</f>
        <v>GBF Gl.8/N Gl.8</v>
      </c>
      <c r="F36" s="40">
        <f>IF($C36="","",VLOOKUP($C36,'R-Lok-Routen'!$A:$F,6))</f>
        <v>6.9444444444444397E-3</v>
      </c>
      <c r="G36" s="38" t="str">
        <f>IF($C36="","",VLOOKUP($C36,'R-Lok-Routen'!$A:$F,4))</f>
        <v>311.21</v>
      </c>
      <c r="H36" s="36" t="str">
        <f>IF(B36="","",VLOOKUP(G36,Haltestellen!$A:$C,2)&amp;" Gl."&amp;VLOOKUP(G36,Haltestellen!$A:$C,3))</f>
        <v>GBF Gl.9/V Gl.9</v>
      </c>
      <c r="I36" s="32"/>
      <c r="J36" s="106">
        <v>0.29166666666666702</v>
      </c>
      <c r="K36" s="120">
        <f t="shared" ref="K36:K56" si="52">IF(J36="","",J36+F36)</f>
        <v>0.29861111111111099</v>
      </c>
      <c r="L36" s="121">
        <f>K41+VLOOKUP($C41,'R-Lok-Routen'!$A:$J,9)</f>
        <v>0.40277777777777501</v>
      </c>
      <c r="M36" s="120">
        <f t="shared" si="21"/>
        <v>0.40972222222221899</v>
      </c>
      <c r="N36" s="121">
        <f>M41+VLOOKUP($C41,'R-Lok-Routen'!$A:$J,9)</f>
        <v>0.51388888888888296</v>
      </c>
      <c r="O36" s="120">
        <f t="shared" si="22"/>
        <v>0.52083333333332704</v>
      </c>
      <c r="P36" s="121">
        <f>O41+VLOOKUP($C41,'R-Lok-Routen'!$A:$J,9)</f>
        <v>0.62499999999999101</v>
      </c>
      <c r="Q36" s="120">
        <f t="shared" si="23"/>
        <v>0.63194444444443498</v>
      </c>
      <c r="R36" s="122">
        <f>Q41+VLOOKUP($C41,'R-Lok-Routen'!$A:$J,9)</f>
        <v>0.73611111111109895</v>
      </c>
      <c r="S36" s="120">
        <f t="shared" si="24"/>
        <v>0.74305555555554303</v>
      </c>
      <c r="T36" s="122">
        <f>S41+VLOOKUP($C41,'R-Lok-Routen'!$A:$J,9)</f>
        <v>0.847222222222207</v>
      </c>
      <c r="U36" s="120">
        <f t="shared" si="25"/>
        <v>0.85416666666665098</v>
      </c>
      <c r="V36" s="122"/>
      <c r="W36" s="120" t="str">
        <f t="shared" si="26"/>
        <v/>
      </c>
      <c r="X36" s="122"/>
      <c r="Y36" s="120" t="str">
        <f t="shared" si="7"/>
        <v/>
      </c>
      <c r="Z36" s="122"/>
      <c r="AA36" s="120" t="str">
        <f t="shared" si="8"/>
        <v/>
      </c>
      <c r="AB36" s="122"/>
      <c r="AC36" s="123" t="str">
        <f t="shared" si="9"/>
        <v/>
      </c>
      <c r="AD36" s="111">
        <f t="shared" si="10"/>
        <v>0.29166666666666702</v>
      </c>
      <c r="AE36" s="112">
        <f t="shared" si="11"/>
        <v>0.40277777777777501</v>
      </c>
      <c r="AF36" s="112">
        <f t="shared" si="12"/>
        <v>0.51388888888888296</v>
      </c>
      <c r="AG36" s="112">
        <f t="shared" si="13"/>
        <v>0.62499999999999101</v>
      </c>
      <c r="AH36" s="112">
        <f t="shared" si="14"/>
        <v>0.73611111111109895</v>
      </c>
      <c r="AI36" s="112">
        <f t="shared" si="15"/>
        <v>0.847222222222207</v>
      </c>
      <c r="AJ36" s="112" t="str">
        <f t="shared" si="16"/>
        <v/>
      </c>
      <c r="AK36" s="112" t="str">
        <f t="shared" si="17"/>
        <v/>
      </c>
      <c r="AL36" s="112" t="str">
        <f t="shared" si="18"/>
        <v/>
      </c>
      <c r="AM36" s="113" t="str">
        <f t="shared" si="19"/>
        <v/>
      </c>
    </row>
    <row r="37" spans="1:39" x14ac:dyDescent="0.25">
      <c r="A37" s="36" t="s">
        <v>30</v>
      </c>
      <c r="B37" s="37">
        <v>2</v>
      </c>
      <c r="C37" s="38">
        <v>2</v>
      </c>
      <c r="D37" s="18" t="str">
        <f>IF($C37="","",VLOOKUP($C37,'R-Lok-Routen'!$A:$F,2))</f>
        <v>311.21</v>
      </c>
      <c r="E37" s="36" t="str">
        <f>IF(B37="","",VLOOKUP(D37,Haltestellen!$A:$C,2)&amp;" Gl."&amp;VLOOKUP(D37,Haltestellen!$A:$C,3))</f>
        <v>GBF Gl.9/V Gl.9</v>
      </c>
      <c r="F37" s="40">
        <f>IF($C37="","",VLOOKUP($C37,'R-Lok-Routen'!$A:$F,6))</f>
        <v>6.9444444444444397E-3</v>
      </c>
      <c r="G37" s="38" t="str">
        <f>IF($C37="","",VLOOKUP($C37,'R-Lok-Routen'!$A:$F,4))</f>
        <v>313.11</v>
      </c>
      <c r="H37" s="36" t="str">
        <f>IF(B37="","",VLOOKUP(G37,Haltestellen!$A:$C,2)&amp;" Gl."&amp;VLOOKUP(G37,Haltestellen!$A:$C,3))</f>
        <v>GBF Gl.7/V Gl.7</v>
      </c>
      <c r="I37" s="32"/>
      <c r="J37" s="124">
        <f>K36+VLOOKUP($C36,'R-Lok-Routen'!$A:$J,9)</f>
        <v>0.30902777777777801</v>
      </c>
      <c r="K37" s="120">
        <f t="shared" si="52"/>
        <v>0.31597222222222199</v>
      </c>
      <c r="L37" s="121">
        <f>M36+VLOOKUP($C36,'R-Lok-Routen'!$A:$J,9)</f>
        <v>0.42013888888888601</v>
      </c>
      <c r="M37" s="120">
        <f t="shared" si="21"/>
        <v>0.42708333333332998</v>
      </c>
      <c r="N37" s="121">
        <f>O36+VLOOKUP($C36,'R-Lok-Routen'!$A:$J,9)</f>
        <v>0.531249999999994</v>
      </c>
      <c r="O37" s="120">
        <f t="shared" si="22"/>
        <v>0.53819444444443798</v>
      </c>
      <c r="P37" s="121">
        <f>Q36+VLOOKUP($C36,'R-Lok-Routen'!$A:$J,9)</f>
        <v>0.64236111111110195</v>
      </c>
      <c r="Q37" s="120">
        <f t="shared" si="23"/>
        <v>0.64930555555554603</v>
      </c>
      <c r="R37" s="122">
        <f>S36+VLOOKUP($C36,'R-Lok-Routen'!$A:$J,9)</f>
        <v>0.75347222222221</v>
      </c>
      <c r="S37" s="120">
        <f t="shared" si="24"/>
        <v>0.76041666666665397</v>
      </c>
      <c r="T37" s="122">
        <f>U36+VLOOKUP($C36,'R-Lok-Routen'!$A:$J,9)</f>
        <v>0.86458333333331805</v>
      </c>
      <c r="U37" s="120">
        <f t="shared" si="25"/>
        <v>0.87152777777776202</v>
      </c>
      <c r="V37" s="122"/>
      <c r="W37" s="120" t="str">
        <f t="shared" si="26"/>
        <v/>
      </c>
      <c r="X37" s="122"/>
      <c r="Y37" s="120" t="str">
        <f t="shared" si="7"/>
        <v/>
      </c>
      <c r="Z37" s="122"/>
      <c r="AA37" s="120" t="str">
        <f t="shared" si="8"/>
        <v/>
      </c>
      <c r="AB37" s="122"/>
      <c r="AC37" s="123" t="str">
        <f t="shared" si="9"/>
        <v/>
      </c>
      <c r="AD37" s="111">
        <f t="shared" si="10"/>
        <v>0.30902777777777801</v>
      </c>
      <c r="AE37" s="112">
        <f t="shared" si="11"/>
        <v>0.42013888888888601</v>
      </c>
      <c r="AF37" s="112">
        <f t="shared" si="12"/>
        <v>0.531249999999994</v>
      </c>
      <c r="AG37" s="112">
        <f t="shared" si="13"/>
        <v>0.64236111111110195</v>
      </c>
      <c r="AH37" s="112">
        <f t="shared" si="14"/>
        <v>0.75347222222221</v>
      </c>
      <c r="AI37" s="112">
        <f t="shared" si="15"/>
        <v>0.86458333333331805</v>
      </c>
      <c r="AJ37" s="112" t="str">
        <f t="shared" si="16"/>
        <v/>
      </c>
      <c r="AK37" s="112" t="str">
        <f t="shared" si="17"/>
        <v/>
      </c>
      <c r="AL37" s="112" t="str">
        <f t="shared" si="18"/>
        <v/>
      </c>
      <c r="AM37" s="113" t="str">
        <f t="shared" si="19"/>
        <v/>
      </c>
    </row>
    <row r="38" spans="1:39" x14ac:dyDescent="0.25">
      <c r="A38" s="36" t="s">
        <v>30</v>
      </c>
      <c r="B38" s="37">
        <v>3</v>
      </c>
      <c r="C38" s="38">
        <v>3</v>
      </c>
      <c r="D38" s="18" t="str">
        <f>IF($C38="","",VLOOKUP($C38,'R-Lok-Routen'!$A:$F,2))</f>
        <v>313.11</v>
      </c>
      <c r="E38" s="36" t="str">
        <f>IF(B38="","",VLOOKUP(D38,Haltestellen!$A:$C,2)&amp;" Gl."&amp;VLOOKUP(D38,Haltestellen!$A:$C,3))</f>
        <v>GBF Gl.7/V Gl.7</v>
      </c>
      <c r="F38" s="40">
        <f>IF($C38="","",VLOOKUP($C38,'R-Lok-Routen'!$A:$F,6))</f>
        <v>6.9444444444444397E-3</v>
      </c>
      <c r="G38" s="38" t="str">
        <f>IF($C38="","",VLOOKUP($C38,'R-Lok-Routen'!$A:$F,4))</f>
        <v>314.11</v>
      </c>
      <c r="H38" s="36" t="str">
        <f>IF(B38="","",VLOOKUP(G38,Haltestellen!$A:$C,2)&amp;" Gl."&amp;VLOOKUP(G38,Haltestellen!$A:$C,3))</f>
        <v>GBF Gl.8/V Gl.8</v>
      </c>
      <c r="I38" s="32"/>
      <c r="J38" s="124">
        <f>K37+VLOOKUP($C37,'R-Lok-Routen'!$A:$J,9)</f>
        <v>0.32291666666666602</v>
      </c>
      <c r="K38" s="120">
        <f t="shared" si="52"/>
        <v>0.32986111111110999</v>
      </c>
      <c r="L38" s="121">
        <f>M37+VLOOKUP($C37,'R-Lok-Routen'!$A:$J,9)</f>
        <v>0.43402777777777402</v>
      </c>
      <c r="M38" s="120">
        <f t="shared" si="21"/>
        <v>0.44097222222221799</v>
      </c>
      <c r="N38" s="121">
        <f>O37+VLOOKUP($C37,'R-Lok-Routen'!$A:$J,9)</f>
        <v>0.54513888888888196</v>
      </c>
      <c r="O38" s="120">
        <f t="shared" si="22"/>
        <v>0.55208333333332604</v>
      </c>
      <c r="P38" s="121">
        <f>Q37+VLOOKUP($C37,'R-Lok-Routen'!$A:$J,9)</f>
        <v>0.65624999999999001</v>
      </c>
      <c r="Q38" s="120">
        <f t="shared" si="23"/>
        <v>0.66319444444443398</v>
      </c>
      <c r="R38" s="122">
        <f>S37+VLOOKUP($C37,'R-Lok-Routen'!$A:$J,9)</f>
        <v>0.76736111111109795</v>
      </c>
      <c r="S38" s="120">
        <f t="shared" si="24"/>
        <v>0.77430555555554204</v>
      </c>
      <c r="T38" s="122">
        <f>U37+VLOOKUP($C37,'R-Lok-Routen'!$A:$J,9)</f>
        <v>0.878472222222206</v>
      </c>
      <c r="U38" s="120">
        <f t="shared" si="25"/>
        <v>0.88541666666664998</v>
      </c>
      <c r="V38" s="122"/>
      <c r="W38" s="120" t="str">
        <f t="shared" si="26"/>
        <v/>
      </c>
      <c r="X38" s="122"/>
      <c r="Y38" s="120" t="str">
        <f t="shared" si="7"/>
        <v/>
      </c>
      <c r="Z38" s="122"/>
      <c r="AA38" s="120" t="str">
        <f t="shared" si="8"/>
        <v/>
      </c>
      <c r="AB38" s="122"/>
      <c r="AC38" s="123" t="str">
        <f t="shared" si="9"/>
        <v/>
      </c>
      <c r="AD38" s="111">
        <f t="shared" si="10"/>
        <v>0.32291666666666602</v>
      </c>
      <c r="AE38" s="112">
        <f t="shared" si="11"/>
        <v>0.43402777777777402</v>
      </c>
      <c r="AF38" s="112">
        <f t="shared" si="12"/>
        <v>0.54513888888888196</v>
      </c>
      <c r="AG38" s="112">
        <f t="shared" si="13"/>
        <v>0.65624999999999001</v>
      </c>
      <c r="AH38" s="112">
        <f t="shared" si="14"/>
        <v>0.76736111111109795</v>
      </c>
      <c r="AI38" s="112">
        <f t="shared" si="15"/>
        <v>0.878472222222206</v>
      </c>
      <c r="AJ38" s="112" t="str">
        <f t="shared" si="16"/>
        <v/>
      </c>
      <c r="AK38" s="112" t="str">
        <f t="shared" si="17"/>
        <v/>
      </c>
      <c r="AL38" s="112" t="str">
        <f t="shared" si="18"/>
        <v/>
      </c>
      <c r="AM38" s="113" t="str">
        <f t="shared" si="19"/>
        <v/>
      </c>
    </row>
    <row r="39" spans="1:39" x14ac:dyDescent="0.25">
      <c r="A39" s="36" t="s">
        <v>30</v>
      </c>
      <c r="B39" s="37">
        <v>4</v>
      </c>
      <c r="C39" s="38">
        <v>4</v>
      </c>
      <c r="D39" s="18" t="str">
        <f>IF($C39="","",VLOOKUP($C39,'R-Lok-Routen'!$A:$F,2))</f>
        <v>314.11</v>
      </c>
      <c r="E39" s="36" t="str">
        <f>IF(B39="","",VLOOKUP(D39,Haltestellen!$A:$C,2)&amp;" Gl."&amp;VLOOKUP(D39,Haltestellen!$A:$C,3))</f>
        <v>GBF Gl.8/V Gl.8</v>
      </c>
      <c r="F39" s="40">
        <f>IF($C39="","",VLOOKUP($C39,'R-Lok-Routen'!$A:$F,6))</f>
        <v>6.9444444444444397E-3</v>
      </c>
      <c r="G39" s="38" t="str">
        <f>IF($C39="","",VLOOKUP($C39,'R-Lok-Routen'!$A:$F,4))</f>
        <v>312.11</v>
      </c>
      <c r="H39" s="36" t="str">
        <f>IF(B39="","",VLOOKUP(G39,Haltestellen!$A:$C,2)&amp;" Gl."&amp;VLOOKUP(G39,Haltestellen!$A:$C,3))</f>
        <v>GBF Gl.6/V Gl.6</v>
      </c>
      <c r="I39" s="32"/>
      <c r="J39" s="124">
        <f>K38+VLOOKUP($C38,'R-Lok-Routen'!$A:$J,9)</f>
        <v>0.343749999999999</v>
      </c>
      <c r="K39" s="120">
        <f t="shared" si="52"/>
        <v>0.35069444444444298</v>
      </c>
      <c r="L39" s="121">
        <f>M38+VLOOKUP($C38,'R-Lok-Routen'!$A:$J,9)</f>
        <v>0.454861111111107</v>
      </c>
      <c r="M39" s="120">
        <f t="shared" si="21"/>
        <v>0.46180555555555097</v>
      </c>
      <c r="N39" s="121">
        <f>O38+VLOOKUP($C38,'R-Lok-Routen'!$A:$J,9)</f>
        <v>0.56597222222221499</v>
      </c>
      <c r="O39" s="120">
        <f t="shared" si="22"/>
        <v>0.57291666666665897</v>
      </c>
      <c r="P39" s="121">
        <f>Q38+VLOOKUP($C38,'R-Lok-Routen'!$A:$J,9)</f>
        <v>0.67708333333332305</v>
      </c>
      <c r="Q39" s="120">
        <f t="shared" si="23"/>
        <v>0.68402777777776702</v>
      </c>
      <c r="R39" s="122">
        <f>S38+VLOOKUP($C38,'R-Lok-Routen'!$A:$J,9)</f>
        <v>0.78819444444443099</v>
      </c>
      <c r="S39" s="120">
        <f t="shared" si="24"/>
        <v>0.79513888888887496</v>
      </c>
      <c r="T39" s="122">
        <f>U38+VLOOKUP($C38,'R-Lok-Routen'!$A:$J,9)</f>
        <v>0.89930555555553904</v>
      </c>
      <c r="U39" s="120">
        <f t="shared" si="25"/>
        <v>0.90624999999998301</v>
      </c>
      <c r="V39" s="122"/>
      <c r="W39" s="120" t="str">
        <f t="shared" si="26"/>
        <v/>
      </c>
      <c r="X39" s="122"/>
      <c r="Y39" s="120" t="str">
        <f t="shared" si="7"/>
        <v/>
      </c>
      <c r="Z39" s="122"/>
      <c r="AA39" s="120" t="str">
        <f t="shared" si="8"/>
        <v/>
      </c>
      <c r="AB39" s="122"/>
      <c r="AC39" s="123" t="str">
        <f t="shared" si="9"/>
        <v/>
      </c>
      <c r="AD39" s="111">
        <f t="shared" si="10"/>
        <v>0.343749999999999</v>
      </c>
      <c r="AE39" s="112">
        <f t="shared" si="11"/>
        <v>0.454861111111107</v>
      </c>
      <c r="AF39" s="112">
        <f t="shared" si="12"/>
        <v>0.56597222222221499</v>
      </c>
      <c r="AG39" s="112">
        <f t="shared" si="13"/>
        <v>0.67708333333332305</v>
      </c>
      <c r="AH39" s="112">
        <f t="shared" si="14"/>
        <v>0.78819444444443099</v>
      </c>
      <c r="AI39" s="112">
        <f t="shared" si="15"/>
        <v>0.89930555555553904</v>
      </c>
      <c r="AJ39" s="112" t="str">
        <f t="shared" si="16"/>
        <v/>
      </c>
      <c r="AK39" s="112" t="str">
        <f t="shared" si="17"/>
        <v/>
      </c>
      <c r="AL39" s="112" t="str">
        <f t="shared" si="18"/>
        <v/>
      </c>
      <c r="AM39" s="113" t="str">
        <f t="shared" si="19"/>
        <v/>
      </c>
    </row>
    <row r="40" spans="1:39" x14ac:dyDescent="0.25">
      <c r="A40" s="36" t="s">
        <v>30</v>
      </c>
      <c r="B40" s="37">
        <v>5</v>
      </c>
      <c r="C40" s="38">
        <v>5</v>
      </c>
      <c r="D40" s="18" t="str">
        <f>IF($C40="","",VLOOKUP($C40,'R-Lok-Routen'!$A:$F,2))</f>
        <v>312.11</v>
      </c>
      <c r="E40" s="36" t="str">
        <f>IF(B40="","",VLOOKUP(D40,Haltestellen!$A:$C,2)&amp;" Gl."&amp;VLOOKUP(D40,Haltestellen!$A:$C,3))</f>
        <v>GBF Gl.6/V Gl.6</v>
      </c>
      <c r="F40" s="40">
        <f>IF($C40="","",VLOOKUP($C40,'R-Lok-Routen'!$A:$F,6))</f>
        <v>6.9444444444444397E-3</v>
      </c>
      <c r="G40" s="38" t="str">
        <f>IF($C40="","",VLOOKUP($C40,'R-Lok-Routen'!$A:$F,4))</f>
        <v>313.11</v>
      </c>
      <c r="H40" s="36" t="str">
        <f>IF(B40="","",VLOOKUP(G40,Haltestellen!$A:$C,2)&amp;" Gl."&amp;VLOOKUP(G40,Haltestellen!$A:$C,3))</f>
        <v>GBF Gl.7/V Gl.7</v>
      </c>
      <c r="I40" s="32"/>
      <c r="J40" s="124">
        <f>K39+VLOOKUP($C39,'R-Lok-Routen'!$A:$J,9)</f>
        <v>0.35416666666666502</v>
      </c>
      <c r="K40" s="120">
        <f t="shared" si="52"/>
        <v>0.361111111111109</v>
      </c>
      <c r="L40" s="121">
        <f>M39+VLOOKUP($C39,'R-Lok-Routen'!$A:$J,9)</f>
        <v>0.46527777777777302</v>
      </c>
      <c r="M40" s="120">
        <f t="shared" si="21"/>
        <v>0.47222222222221699</v>
      </c>
      <c r="N40" s="121">
        <f>O39+VLOOKUP($C39,'R-Lok-Routen'!$A:$J,9)</f>
        <v>0.57638888888888096</v>
      </c>
      <c r="O40" s="120">
        <f t="shared" si="22"/>
        <v>0.58333333333332504</v>
      </c>
      <c r="P40" s="121">
        <f>Q39+VLOOKUP($C39,'R-Lok-Routen'!$A:$J,9)</f>
        <v>0.68749999999998901</v>
      </c>
      <c r="Q40" s="120">
        <f t="shared" si="23"/>
        <v>0.69444444444443298</v>
      </c>
      <c r="R40" s="122">
        <f>S39+VLOOKUP($C39,'R-Lok-Routen'!$A:$J,9)</f>
        <v>0.79861111111109695</v>
      </c>
      <c r="S40" s="120">
        <f t="shared" si="24"/>
        <v>0.80555555555554104</v>
      </c>
      <c r="T40" s="122">
        <f>U39+VLOOKUP($C39,'R-Lok-Routen'!$A:$J,9)</f>
        <v>0.909722222222205</v>
      </c>
      <c r="U40" s="120">
        <f t="shared" si="25"/>
        <v>0.91666666666664898</v>
      </c>
      <c r="V40" s="122"/>
      <c r="W40" s="120" t="str">
        <f t="shared" si="26"/>
        <v/>
      </c>
      <c r="X40" s="122"/>
      <c r="Y40" s="120" t="str">
        <f t="shared" si="7"/>
        <v/>
      </c>
      <c r="Z40" s="122"/>
      <c r="AA40" s="120" t="str">
        <f t="shared" si="8"/>
        <v/>
      </c>
      <c r="AB40" s="122"/>
      <c r="AC40" s="123" t="str">
        <f t="shared" si="9"/>
        <v/>
      </c>
      <c r="AD40" s="111">
        <f t="shared" si="10"/>
        <v>0.35416666666666502</v>
      </c>
      <c r="AE40" s="112">
        <f t="shared" si="11"/>
        <v>0.46527777777777302</v>
      </c>
      <c r="AF40" s="112">
        <f t="shared" si="12"/>
        <v>0.57638888888888096</v>
      </c>
      <c r="AG40" s="112">
        <f t="shared" si="13"/>
        <v>0.68749999999998901</v>
      </c>
      <c r="AH40" s="112">
        <f t="shared" si="14"/>
        <v>0.79861111111109695</v>
      </c>
      <c r="AI40" s="112">
        <f t="shared" si="15"/>
        <v>0.909722222222205</v>
      </c>
      <c r="AJ40" s="112" t="str">
        <f t="shared" si="16"/>
        <v/>
      </c>
      <c r="AK40" s="112" t="str">
        <f t="shared" si="17"/>
        <v/>
      </c>
      <c r="AL40" s="112" t="str">
        <f t="shared" si="18"/>
        <v/>
      </c>
      <c r="AM40" s="113" t="str">
        <f t="shared" si="19"/>
        <v/>
      </c>
    </row>
    <row r="41" spans="1:39" x14ac:dyDescent="0.25">
      <c r="A41" s="36" t="s">
        <v>30</v>
      </c>
      <c r="B41" s="37">
        <v>6</v>
      </c>
      <c r="C41" s="38">
        <v>3</v>
      </c>
      <c r="D41" s="21" t="str">
        <f>IF($C41="","",VLOOKUP($C41,'R-Lok-Routen'!$A:$F,2))</f>
        <v>313.11</v>
      </c>
      <c r="E41" s="36" t="str">
        <f>IF(B41="","",VLOOKUP(D41,Haltestellen!$A:$C,2)&amp;" Gl."&amp;VLOOKUP(D41,Haltestellen!$A:$C,3))</f>
        <v>GBF Gl.7/V Gl.7</v>
      </c>
      <c r="F41" s="40">
        <f>IF($C41="","",VLOOKUP($C41,'R-Lok-Routen'!$A:$F,6))</f>
        <v>6.9444444444444397E-3</v>
      </c>
      <c r="G41" s="38" t="str">
        <f>IF($C41="","",VLOOKUP($C41,'R-Lok-Routen'!$A:$F,4))</f>
        <v>314.11</v>
      </c>
      <c r="H41" s="36" t="str">
        <f>IF(B41="","",VLOOKUP(G41,Haltestellen!$A:$C,2)&amp;" Gl."&amp;VLOOKUP(G41,Haltestellen!$A:$C,3))</f>
        <v>GBF Gl.8/V Gl.8</v>
      </c>
      <c r="I41" s="32"/>
      <c r="J41" s="124">
        <f>K40+VLOOKUP($C40,'R-Lok-Routen'!$A:$J,9)</f>
        <v>0.38194444444444198</v>
      </c>
      <c r="K41" s="120">
        <f t="shared" si="52"/>
        <v>0.38888888888888601</v>
      </c>
      <c r="L41" s="121">
        <f>M40+VLOOKUP($C40,'R-Lok-Routen'!$A:$J,9)</f>
        <v>0.49305555555554997</v>
      </c>
      <c r="M41" s="120">
        <f t="shared" si="21"/>
        <v>0.499999999999994</v>
      </c>
      <c r="N41" s="121">
        <f>O40+VLOOKUP($C40,'R-Lok-Routen'!$A:$J,9)</f>
        <v>0.60416666666665797</v>
      </c>
      <c r="O41" s="120">
        <f t="shared" si="22"/>
        <v>0.61111111111110195</v>
      </c>
      <c r="P41" s="121">
        <f>Q40+VLOOKUP($C40,'R-Lok-Routen'!$A:$J,9)</f>
        <v>0.71527777777776602</v>
      </c>
      <c r="Q41" s="120">
        <f t="shared" si="23"/>
        <v>0.72222222222221</v>
      </c>
      <c r="R41" s="122">
        <f>S40+VLOOKUP($C40,'R-Lok-Routen'!$A:$J,9)</f>
        <v>0.82638888888887396</v>
      </c>
      <c r="S41" s="120">
        <f t="shared" si="24"/>
        <v>0.83333333333331805</v>
      </c>
      <c r="T41" s="122">
        <f>U40+VLOOKUP($C40,'R-Lok-Routen'!$A:$J,9)</f>
        <v>0.93749999999998201</v>
      </c>
      <c r="U41" s="120">
        <f t="shared" si="25"/>
        <v>0.94444444444442599</v>
      </c>
      <c r="V41" s="122"/>
      <c r="W41" s="120" t="str">
        <f t="shared" si="26"/>
        <v/>
      </c>
      <c r="X41" s="122"/>
      <c r="Y41" s="120" t="str">
        <f t="shared" si="7"/>
        <v/>
      </c>
      <c r="Z41" s="122"/>
      <c r="AA41" s="120" t="str">
        <f t="shared" si="8"/>
        <v/>
      </c>
      <c r="AB41" s="122"/>
      <c r="AC41" s="123" t="str">
        <f t="shared" si="9"/>
        <v/>
      </c>
      <c r="AD41" s="111">
        <f t="shared" si="10"/>
        <v>0.38194444444444198</v>
      </c>
      <c r="AE41" s="112">
        <f t="shared" si="11"/>
        <v>0.49305555555554997</v>
      </c>
      <c r="AF41" s="112">
        <f t="shared" si="12"/>
        <v>0.60416666666665797</v>
      </c>
      <c r="AG41" s="112">
        <f t="shared" si="13"/>
        <v>0.71527777777776602</v>
      </c>
      <c r="AH41" s="112">
        <f t="shared" si="14"/>
        <v>0.82638888888887396</v>
      </c>
      <c r="AI41" s="112">
        <f t="shared" si="15"/>
        <v>0.93749999999998201</v>
      </c>
      <c r="AJ41" s="112" t="str">
        <f t="shared" si="16"/>
        <v/>
      </c>
      <c r="AK41" s="112" t="str">
        <f t="shared" si="17"/>
        <v/>
      </c>
      <c r="AL41" s="112" t="str">
        <f t="shared" si="18"/>
        <v/>
      </c>
      <c r="AM41" s="113" t="str">
        <f t="shared" si="19"/>
        <v/>
      </c>
    </row>
    <row r="42" spans="1:39" x14ac:dyDescent="0.25">
      <c r="A42" s="28"/>
      <c r="B42" s="29"/>
      <c r="C42" s="18"/>
      <c r="D42" s="18"/>
      <c r="E42" s="28" t="str">
        <f>IF(B42="","",VLOOKUP(D42,Haltestellen!$A:$C,2)&amp;" Gl."&amp;VLOOKUP(D42,Haltestellen!$A:$C,3))</f>
        <v/>
      </c>
      <c r="F42" s="31"/>
      <c r="G42" s="18"/>
      <c r="H42" s="28" t="str">
        <f>IF(B42="","",VLOOKUP(G42,Haltestellen!$A:$C,2)&amp;" Gl."&amp;VLOOKUP(G42,Haltestellen!$A:$C,3))</f>
        <v/>
      </c>
      <c r="I42" s="32"/>
      <c r="J42" s="71" t="str">
        <f>IF(B42="","",#REF!)</f>
        <v/>
      </c>
      <c r="K42" s="33" t="str">
        <f t="shared" si="52"/>
        <v/>
      </c>
      <c r="L42" s="34"/>
      <c r="M42" s="33" t="str">
        <f t="shared" si="21"/>
        <v/>
      </c>
      <c r="N42" s="34"/>
      <c r="O42" s="33" t="str">
        <f t="shared" si="22"/>
        <v/>
      </c>
      <c r="P42" s="34"/>
      <c r="Q42" s="33" t="str">
        <f t="shared" si="23"/>
        <v/>
      </c>
      <c r="R42" s="35"/>
      <c r="S42" s="33" t="str">
        <f t="shared" si="24"/>
        <v/>
      </c>
      <c r="T42" s="35"/>
      <c r="U42" s="33" t="str">
        <f t="shared" si="25"/>
        <v/>
      </c>
      <c r="V42" s="35"/>
      <c r="W42" s="33" t="str">
        <f t="shared" si="26"/>
        <v/>
      </c>
      <c r="X42" s="35"/>
      <c r="Y42" s="33" t="str">
        <f t="shared" si="7"/>
        <v/>
      </c>
      <c r="Z42" s="35"/>
      <c r="AA42" s="33" t="str">
        <f t="shared" si="8"/>
        <v/>
      </c>
      <c r="AB42" s="35"/>
      <c r="AC42" s="70" t="str">
        <f t="shared" si="9"/>
        <v/>
      </c>
      <c r="AD42" s="80" t="str">
        <f t="shared" si="10"/>
        <v/>
      </c>
      <c r="AE42" s="62" t="str">
        <f t="shared" si="11"/>
        <v/>
      </c>
      <c r="AF42" s="62" t="str">
        <f t="shared" si="12"/>
        <v/>
      </c>
      <c r="AG42" s="62" t="str">
        <f t="shared" si="13"/>
        <v/>
      </c>
      <c r="AH42" s="62" t="str">
        <f t="shared" si="14"/>
        <v/>
      </c>
      <c r="AI42" s="62" t="str">
        <f t="shared" si="15"/>
        <v/>
      </c>
      <c r="AJ42" s="62" t="str">
        <f t="shared" si="16"/>
        <v/>
      </c>
      <c r="AK42" s="62" t="str">
        <f t="shared" si="17"/>
        <v/>
      </c>
      <c r="AL42" s="62" t="str">
        <f t="shared" si="18"/>
        <v/>
      </c>
      <c r="AM42" s="81" t="str">
        <f t="shared" si="19"/>
        <v/>
      </c>
    </row>
    <row r="43" spans="1:39" x14ac:dyDescent="0.25">
      <c r="A43" s="28"/>
      <c r="B43" s="29"/>
      <c r="C43" s="18"/>
      <c r="D43" s="18"/>
      <c r="E43" s="28" t="str">
        <f>IF(B43="","",VLOOKUP(D43,Haltestellen!$A:$C,2)&amp;" Gl."&amp;VLOOKUP(D43,Haltestellen!$A:$C,3))</f>
        <v/>
      </c>
      <c r="F43" s="31"/>
      <c r="G43" s="18"/>
      <c r="H43" s="28" t="str">
        <f>IF(B43="","",VLOOKUP(G43,Haltestellen!$A:$C,2)&amp;" Gl."&amp;VLOOKUP(G43,Haltestellen!$A:$C,3))</f>
        <v/>
      </c>
      <c r="I43" s="32"/>
      <c r="J43" s="71" t="str">
        <f>IF(B43="","",#REF!)</f>
        <v/>
      </c>
      <c r="K43" s="33" t="str">
        <f t="shared" si="52"/>
        <v/>
      </c>
      <c r="L43" s="34"/>
      <c r="M43" s="33" t="str">
        <f t="shared" si="21"/>
        <v/>
      </c>
      <c r="N43" s="34"/>
      <c r="O43" s="33" t="str">
        <f t="shared" si="22"/>
        <v/>
      </c>
      <c r="P43" s="34"/>
      <c r="Q43" s="33" t="str">
        <f t="shared" si="23"/>
        <v/>
      </c>
      <c r="R43" s="35"/>
      <c r="S43" s="33" t="str">
        <f t="shared" si="24"/>
        <v/>
      </c>
      <c r="T43" s="35"/>
      <c r="U43" s="33" t="str">
        <f t="shared" si="25"/>
        <v/>
      </c>
      <c r="V43" s="35"/>
      <c r="W43" s="33" t="str">
        <f t="shared" si="26"/>
        <v/>
      </c>
      <c r="X43" s="35"/>
      <c r="Y43" s="33" t="str">
        <f t="shared" si="7"/>
        <v/>
      </c>
      <c r="Z43" s="35"/>
      <c r="AA43" s="33" t="str">
        <f t="shared" si="8"/>
        <v/>
      </c>
      <c r="AB43" s="35"/>
      <c r="AC43" s="70" t="str">
        <f t="shared" si="9"/>
        <v/>
      </c>
      <c r="AD43" s="80" t="str">
        <f t="shared" si="10"/>
        <v/>
      </c>
      <c r="AE43" s="62" t="str">
        <f t="shared" si="11"/>
        <v/>
      </c>
      <c r="AF43" s="62" t="str">
        <f t="shared" si="12"/>
        <v/>
      </c>
      <c r="AG43" s="62" t="str">
        <f t="shared" si="13"/>
        <v/>
      </c>
      <c r="AH43" s="62" t="str">
        <f t="shared" si="14"/>
        <v/>
      </c>
      <c r="AI43" s="62" t="str">
        <f t="shared" si="15"/>
        <v/>
      </c>
      <c r="AJ43" s="62" t="str">
        <f t="shared" si="16"/>
        <v/>
      </c>
      <c r="AK43" s="62" t="str">
        <f t="shared" si="17"/>
        <v/>
      </c>
      <c r="AL43" s="62" t="str">
        <f t="shared" si="18"/>
        <v/>
      </c>
      <c r="AM43" s="81" t="str">
        <f t="shared" si="19"/>
        <v/>
      </c>
    </row>
    <row r="44" spans="1:39" x14ac:dyDescent="0.25">
      <c r="A44" s="28"/>
      <c r="B44" s="29"/>
      <c r="C44" s="18"/>
      <c r="D44" s="18"/>
      <c r="E44" s="28" t="str">
        <f>IF(B44="","",VLOOKUP(D44,Haltestellen!$A:$C,2)&amp;" Gl."&amp;VLOOKUP(D44,Haltestellen!$A:$C,3))</f>
        <v/>
      </c>
      <c r="F44" s="31"/>
      <c r="G44" s="18"/>
      <c r="H44" s="28" t="str">
        <f>IF(B44="","",VLOOKUP(G44,Haltestellen!$A:$C,2)&amp;" Gl."&amp;VLOOKUP(G44,Haltestellen!$A:$C,3))</f>
        <v/>
      </c>
      <c r="I44" s="32"/>
      <c r="J44" s="71" t="str">
        <f>IF(B44="","",#REF!)</f>
        <v/>
      </c>
      <c r="K44" s="33" t="str">
        <f t="shared" si="52"/>
        <v/>
      </c>
      <c r="L44" s="34"/>
      <c r="M44" s="33" t="str">
        <f t="shared" si="21"/>
        <v/>
      </c>
      <c r="N44" s="34"/>
      <c r="O44" s="33" t="str">
        <f t="shared" si="22"/>
        <v/>
      </c>
      <c r="P44" s="34"/>
      <c r="Q44" s="33" t="str">
        <f t="shared" si="23"/>
        <v/>
      </c>
      <c r="R44" s="35"/>
      <c r="S44" s="33" t="str">
        <f t="shared" si="24"/>
        <v/>
      </c>
      <c r="T44" s="35"/>
      <c r="U44" s="33" t="str">
        <f t="shared" si="25"/>
        <v/>
      </c>
      <c r="V44" s="35"/>
      <c r="W44" s="33" t="str">
        <f t="shared" si="26"/>
        <v/>
      </c>
      <c r="X44" s="35"/>
      <c r="Y44" s="33" t="str">
        <f t="shared" si="7"/>
        <v/>
      </c>
      <c r="Z44" s="35"/>
      <c r="AA44" s="33" t="str">
        <f t="shared" si="8"/>
        <v/>
      </c>
      <c r="AB44" s="35"/>
      <c r="AC44" s="70" t="str">
        <f t="shared" si="9"/>
        <v/>
      </c>
      <c r="AD44" s="80" t="str">
        <f t="shared" si="10"/>
        <v/>
      </c>
      <c r="AE44" s="62" t="str">
        <f t="shared" si="11"/>
        <v/>
      </c>
      <c r="AF44" s="62" t="str">
        <f t="shared" si="12"/>
        <v/>
      </c>
      <c r="AG44" s="62" t="str">
        <f t="shared" si="13"/>
        <v/>
      </c>
      <c r="AH44" s="62" t="str">
        <f t="shared" si="14"/>
        <v/>
      </c>
      <c r="AI44" s="62" t="str">
        <f t="shared" si="15"/>
        <v/>
      </c>
      <c r="AJ44" s="62" t="str">
        <f t="shared" si="16"/>
        <v/>
      </c>
      <c r="AK44" s="62" t="str">
        <f t="shared" si="17"/>
        <v/>
      </c>
      <c r="AL44" s="62" t="str">
        <f t="shared" si="18"/>
        <v/>
      </c>
      <c r="AM44" s="81" t="str">
        <f t="shared" si="19"/>
        <v/>
      </c>
    </row>
    <row r="45" spans="1:39" x14ac:dyDescent="0.25">
      <c r="A45" s="28"/>
      <c r="B45" s="29"/>
      <c r="C45" s="18"/>
      <c r="D45" s="18"/>
      <c r="E45" s="28" t="str">
        <f>IF(B45="","",VLOOKUP(D45,Haltestellen!$A:$C,2)&amp;" Gl."&amp;VLOOKUP(D45,Haltestellen!$A:$C,3))</f>
        <v/>
      </c>
      <c r="F45" s="31"/>
      <c r="G45" s="18"/>
      <c r="H45" s="28" t="str">
        <f>IF(B45="","",VLOOKUP(G45,Haltestellen!$A:$C,2)&amp;" Gl."&amp;VLOOKUP(G45,Haltestellen!$A:$C,3))</f>
        <v/>
      </c>
      <c r="I45" s="32"/>
      <c r="J45" s="71" t="str">
        <f>IF(B45="","",#REF!)</f>
        <v/>
      </c>
      <c r="K45" s="33" t="str">
        <f t="shared" si="52"/>
        <v/>
      </c>
      <c r="L45" s="34"/>
      <c r="M45" s="33" t="str">
        <f t="shared" si="21"/>
        <v/>
      </c>
      <c r="N45" s="34"/>
      <c r="O45" s="33" t="str">
        <f t="shared" si="22"/>
        <v/>
      </c>
      <c r="P45" s="34"/>
      <c r="Q45" s="33" t="str">
        <f t="shared" si="23"/>
        <v/>
      </c>
      <c r="R45" s="35"/>
      <c r="S45" s="33" t="str">
        <f t="shared" si="24"/>
        <v/>
      </c>
      <c r="T45" s="35"/>
      <c r="U45" s="33" t="str">
        <f t="shared" si="25"/>
        <v/>
      </c>
      <c r="V45" s="35"/>
      <c r="W45" s="33" t="str">
        <f t="shared" si="26"/>
        <v/>
      </c>
      <c r="X45" s="35"/>
      <c r="Y45" s="33" t="str">
        <f t="shared" si="7"/>
        <v/>
      </c>
      <c r="Z45" s="35"/>
      <c r="AA45" s="33" t="str">
        <f t="shared" si="8"/>
        <v/>
      </c>
      <c r="AB45" s="35"/>
      <c r="AC45" s="70" t="str">
        <f t="shared" si="9"/>
        <v/>
      </c>
      <c r="AD45" s="80" t="str">
        <f t="shared" si="10"/>
        <v/>
      </c>
      <c r="AE45" s="62" t="str">
        <f t="shared" si="11"/>
        <v/>
      </c>
      <c r="AF45" s="62" t="str">
        <f t="shared" si="12"/>
        <v/>
      </c>
      <c r="AG45" s="62" t="str">
        <f t="shared" si="13"/>
        <v/>
      </c>
      <c r="AH45" s="62" t="str">
        <f t="shared" si="14"/>
        <v/>
      </c>
      <c r="AI45" s="62" t="str">
        <f t="shared" si="15"/>
        <v/>
      </c>
      <c r="AJ45" s="62" t="str">
        <f t="shared" si="16"/>
        <v/>
      </c>
      <c r="AK45" s="62" t="str">
        <f t="shared" si="17"/>
        <v/>
      </c>
      <c r="AL45" s="62" t="str">
        <f t="shared" si="18"/>
        <v/>
      </c>
      <c r="AM45" s="81" t="str">
        <f t="shared" si="19"/>
        <v/>
      </c>
    </row>
    <row r="46" spans="1:39" x14ac:dyDescent="0.25">
      <c r="A46" s="28"/>
      <c r="B46" s="29"/>
      <c r="C46" s="18"/>
      <c r="D46" s="18"/>
      <c r="E46" s="28" t="str">
        <f>IF(B46="","",VLOOKUP(D46,Haltestellen!$A:$C,2)&amp;" Gl."&amp;VLOOKUP(D46,Haltestellen!$A:$C,3))</f>
        <v/>
      </c>
      <c r="F46" s="31"/>
      <c r="G46" s="18"/>
      <c r="H46" s="28" t="str">
        <f>IF(B46="","",VLOOKUP(G46,Haltestellen!$A:$C,2)&amp;" Gl."&amp;VLOOKUP(G46,Haltestellen!$A:$C,3))</f>
        <v/>
      </c>
      <c r="I46" s="32"/>
      <c r="J46" s="71" t="str">
        <f>IF(B46="","",#REF!)</f>
        <v/>
      </c>
      <c r="K46" s="33" t="str">
        <f t="shared" si="52"/>
        <v/>
      </c>
      <c r="L46" s="34"/>
      <c r="M46" s="33" t="str">
        <f t="shared" si="21"/>
        <v/>
      </c>
      <c r="N46" s="34"/>
      <c r="O46" s="33" t="str">
        <f t="shared" si="22"/>
        <v/>
      </c>
      <c r="P46" s="34"/>
      <c r="Q46" s="33" t="str">
        <f t="shared" si="23"/>
        <v/>
      </c>
      <c r="R46" s="35"/>
      <c r="S46" s="33" t="str">
        <f t="shared" si="24"/>
        <v/>
      </c>
      <c r="T46" s="35"/>
      <c r="U46" s="33" t="str">
        <f t="shared" si="25"/>
        <v/>
      </c>
      <c r="V46" s="35"/>
      <c r="W46" s="33" t="str">
        <f t="shared" si="26"/>
        <v/>
      </c>
      <c r="X46" s="35"/>
      <c r="Y46" s="33" t="str">
        <f t="shared" si="7"/>
        <v/>
      </c>
      <c r="Z46" s="35"/>
      <c r="AA46" s="33" t="str">
        <f t="shared" si="8"/>
        <v/>
      </c>
      <c r="AB46" s="35"/>
      <c r="AC46" s="70" t="str">
        <f t="shared" si="9"/>
        <v/>
      </c>
      <c r="AD46" s="80" t="str">
        <f t="shared" si="10"/>
        <v/>
      </c>
      <c r="AE46" s="62" t="str">
        <f t="shared" si="11"/>
        <v/>
      </c>
      <c r="AF46" s="62" t="str">
        <f t="shared" si="12"/>
        <v/>
      </c>
      <c r="AG46" s="62" t="str">
        <f t="shared" si="13"/>
        <v/>
      </c>
      <c r="AH46" s="62" t="str">
        <f t="shared" si="14"/>
        <v/>
      </c>
      <c r="AI46" s="62" t="str">
        <f t="shared" si="15"/>
        <v/>
      </c>
      <c r="AJ46" s="62" t="str">
        <f t="shared" si="16"/>
        <v/>
      </c>
      <c r="AK46" s="62" t="str">
        <f t="shared" si="17"/>
        <v/>
      </c>
      <c r="AL46" s="62" t="str">
        <f t="shared" si="18"/>
        <v/>
      </c>
      <c r="AM46" s="81" t="str">
        <f t="shared" si="19"/>
        <v/>
      </c>
    </row>
    <row r="47" spans="1:39" x14ac:dyDescent="0.25">
      <c r="A47" s="28"/>
      <c r="B47" s="29"/>
      <c r="C47" s="18"/>
      <c r="D47" s="18"/>
      <c r="E47" s="28" t="str">
        <f>IF(B47="","",VLOOKUP(D47,Haltestellen!$A:$C,2)&amp;" Gl."&amp;VLOOKUP(D47,Haltestellen!$A:$C,3))</f>
        <v/>
      </c>
      <c r="F47" s="31"/>
      <c r="G47" s="18"/>
      <c r="H47" s="28" t="str">
        <f>IF(B47="","",VLOOKUP(G47,Haltestellen!$A:$C,2)&amp;" Gl."&amp;VLOOKUP(G47,Haltestellen!$A:$C,3))</f>
        <v/>
      </c>
      <c r="I47" s="32"/>
      <c r="J47" s="71" t="str">
        <f>IF(B47="","",#REF!)</f>
        <v/>
      </c>
      <c r="K47" s="33" t="str">
        <f t="shared" si="52"/>
        <v/>
      </c>
      <c r="L47" s="34"/>
      <c r="M47" s="33" t="str">
        <f t="shared" si="21"/>
        <v/>
      </c>
      <c r="N47" s="34"/>
      <c r="O47" s="33" t="str">
        <f t="shared" si="22"/>
        <v/>
      </c>
      <c r="P47" s="34"/>
      <c r="Q47" s="33" t="str">
        <f t="shared" si="23"/>
        <v/>
      </c>
      <c r="R47" s="35"/>
      <c r="S47" s="33" t="str">
        <f t="shared" si="24"/>
        <v/>
      </c>
      <c r="T47" s="35"/>
      <c r="U47" s="33" t="str">
        <f t="shared" si="25"/>
        <v/>
      </c>
      <c r="V47" s="35"/>
      <c r="W47" s="33" t="str">
        <f t="shared" si="26"/>
        <v/>
      </c>
      <c r="X47" s="35"/>
      <c r="Y47" s="33" t="str">
        <f t="shared" si="7"/>
        <v/>
      </c>
      <c r="Z47" s="35"/>
      <c r="AA47" s="33" t="str">
        <f t="shared" si="8"/>
        <v/>
      </c>
      <c r="AB47" s="35"/>
      <c r="AC47" s="70" t="str">
        <f t="shared" si="9"/>
        <v/>
      </c>
      <c r="AD47" s="80" t="str">
        <f t="shared" si="10"/>
        <v/>
      </c>
      <c r="AE47" s="62" t="str">
        <f t="shared" si="11"/>
        <v/>
      </c>
      <c r="AF47" s="62" t="str">
        <f t="shared" si="12"/>
        <v/>
      </c>
      <c r="AG47" s="62" t="str">
        <f t="shared" si="13"/>
        <v/>
      </c>
      <c r="AH47" s="62" t="str">
        <f t="shared" si="14"/>
        <v/>
      </c>
      <c r="AI47" s="62" t="str">
        <f t="shared" si="15"/>
        <v/>
      </c>
      <c r="AJ47" s="62" t="str">
        <f t="shared" si="16"/>
        <v/>
      </c>
      <c r="AK47" s="62" t="str">
        <f t="shared" si="17"/>
        <v/>
      </c>
      <c r="AL47" s="62" t="str">
        <f t="shared" si="18"/>
        <v/>
      </c>
      <c r="AM47" s="81" t="str">
        <f t="shared" si="19"/>
        <v/>
      </c>
    </row>
    <row r="48" spans="1:39" x14ac:dyDescent="0.25">
      <c r="A48" s="28"/>
      <c r="B48" s="29"/>
      <c r="C48" s="18"/>
      <c r="D48" s="18"/>
      <c r="E48" s="28" t="str">
        <f>IF(B48="","",VLOOKUP(D48,Haltestellen!$A:$C,2)&amp;" Gl."&amp;VLOOKUP(D48,Haltestellen!$A:$C,3))</f>
        <v/>
      </c>
      <c r="F48" s="31"/>
      <c r="G48" s="18"/>
      <c r="H48" s="28" t="str">
        <f>IF(B48="","",VLOOKUP(G48,Haltestellen!$A:$C,2)&amp;" Gl."&amp;VLOOKUP(G48,Haltestellen!$A:$C,3))</f>
        <v/>
      </c>
      <c r="I48" s="32"/>
      <c r="J48" s="71" t="str">
        <f>IF(B48="","",#REF!)</f>
        <v/>
      </c>
      <c r="K48" s="33" t="str">
        <f t="shared" si="52"/>
        <v/>
      </c>
      <c r="L48" s="34"/>
      <c r="M48" s="33" t="str">
        <f t="shared" si="21"/>
        <v/>
      </c>
      <c r="N48" s="34"/>
      <c r="O48" s="33" t="str">
        <f t="shared" si="22"/>
        <v/>
      </c>
      <c r="P48" s="34"/>
      <c r="Q48" s="33" t="str">
        <f t="shared" si="23"/>
        <v/>
      </c>
      <c r="R48" s="35"/>
      <c r="S48" s="33" t="str">
        <f t="shared" si="24"/>
        <v/>
      </c>
      <c r="T48" s="35"/>
      <c r="U48" s="33" t="str">
        <f t="shared" si="25"/>
        <v/>
      </c>
      <c r="V48" s="35"/>
      <c r="W48" s="33" t="str">
        <f t="shared" si="26"/>
        <v/>
      </c>
      <c r="X48" s="35"/>
      <c r="Y48" s="33" t="str">
        <f t="shared" si="7"/>
        <v/>
      </c>
      <c r="Z48" s="35"/>
      <c r="AA48" s="33" t="str">
        <f t="shared" si="8"/>
        <v/>
      </c>
      <c r="AB48" s="35"/>
      <c r="AC48" s="70" t="str">
        <f t="shared" si="9"/>
        <v/>
      </c>
      <c r="AD48" s="80" t="str">
        <f t="shared" si="10"/>
        <v/>
      </c>
      <c r="AE48" s="62" t="str">
        <f t="shared" si="11"/>
        <v/>
      </c>
      <c r="AF48" s="62" t="str">
        <f t="shared" si="12"/>
        <v/>
      </c>
      <c r="AG48" s="62" t="str">
        <f t="shared" si="13"/>
        <v/>
      </c>
      <c r="AH48" s="62" t="str">
        <f t="shared" si="14"/>
        <v/>
      </c>
      <c r="AI48" s="62" t="str">
        <f t="shared" si="15"/>
        <v/>
      </c>
      <c r="AJ48" s="62" t="str">
        <f t="shared" si="16"/>
        <v/>
      </c>
      <c r="AK48" s="62" t="str">
        <f t="shared" si="17"/>
        <v/>
      </c>
      <c r="AL48" s="62" t="str">
        <f t="shared" si="18"/>
        <v/>
      </c>
      <c r="AM48" s="81" t="str">
        <f t="shared" si="19"/>
        <v/>
      </c>
    </row>
    <row r="49" spans="1:39" x14ac:dyDescent="0.25">
      <c r="A49" s="28"/>
      <c r="B49" s="29"/>
      <c r="C49" s="18"/>
      <c r="D49" s="18"/>
      <c r="E49" s="28" t="str">
        <f>IF(B49="","",VLOOKUP(D49,Haltestellen!$A:$C,2)&amp;" Gl."&amp;VLOOKUP(D49,Haltestellen!$A:$C,3))</f>
        <v/>
      </c>
      <c r="F49" s="31"/>
      <c r="G49" s="18"/>
      <c r="H49" s="28" t="str">
        <f>IF(B49="","",VLOOKUP(G49,Haltestellen!$A:$C,2)&amp;" Gl."&amp;VLOOKUP(G49,Haltestellen!$A:$C,3))</f>
        <v/>
      </c>
      <c r="I49" s="32"/>
      <c r="J49" s="71" t="str">
        <f>IF(B49="","",#REF!)</f>
        <v/>
      </c>
      <c r="K49" s="33" t="str">
        <f t="shared" si="52"/>
        <v/>
      </c>
      <c r="L49" s="34"/>
      <c r="M49" s="33" t="str">
        <f t="shared" si="21"/>
        <v/>
      </c>
      <c r="N49" s="34"/>
      <c r="O49" s="33" t="str">
        <f t="shared" si="22"/>
        <v/>
      </c>
      <c r="P49" s="34"/>
      <c r="Q49" s="33" t="str">
        <f t="shared" si="23"/>
        <v/>
      </c>
      <c r="R49" s="35"/>
      <c r="S49" s="33" t="str">
        <f t="shared" si="24"/>
        <v/>
      </c>
      <c r="T49" s="35"/>
      <c r="U49" s="33" t="str">
        <f t="shared" si="25"/>
        <v/>
      </c>
      <c r="V49" s="35"/>
      <c r="W49" s="33" t="str">
        <f t="shared" si="26"/>
        <v/>
      </c>
      <c r="X49" s="35"/>
      <c r="Y49" s="33" t="str">
        <f t="shared" si="7"/>
        <v/>
      </c>
      <c r="Z49" s="35"/>
      <c r="AA49" s="33" t="str">
        <f t="shared" si="8"/>
        <v/>
      </c>
      <c r="AB49" s="35"/>
      <c r="AC49" s="70" t="str">
        <f t="shared" si="9"/>
        <v/>
      </c>
      <c r="AD49" s="80" t="str">
        <f t="shared" si="10"/>
        <v/>
      </c>
      <c r="AE49" s="62" t="str">
        <f t="shared" si="11"/>
        <v/>
      </c>
      <c r="AF49" s="62" t="str">
        <f t="shared" si="12"/>
        <v/>
      </c>
      <c r="AG49" s="62" t="str">
        <f t="shared" si="13"/>
        <v/>
      </c>
      <c r="AH49" s="62" t="str">
        <f t="shared" si="14"/>
        <v/>
      </c>
      <c r="AI49" s="62" t="str">
        <f t="shared" si="15"/>
        <v/>
      </c>
      <c r="AJ49" s="62" t="str">
        <f t="shared" si="16"/>
        <v/>
      </c>
      <c r="AK49" s="62" t="str">
        <f t="shared" si="17"/>
        <v/>
      </c>
      <c r="AL49" s="62" t="str">
        <f t="shared" si="18"/>
        <v/>
      </c>
      <c r="AM49" s="81" t="str">
        <f t="shared" si="19"/>
        <v/>
      </c>
    </row>
    <row r="50" spans="1:39" x14ac:dyDescent="0.25">
      <c r="A50" s="28"/>
      <c r="B50" s="29"/>
      <c r="C50" s="18"/>
      <c r="D50" s="18"/>
      <c r="E50" s="28" t="str">
        <f>IF(B50="","",VLOOKUP(D50,Haltestellen!$A:$C,2)&amp;" Gl."&amp;VLOOKUP(D50,Haltestellen!$A:$C,3))</f>
        <v/>
      </c>
      <c r="F50" s="31"/>
      <c r="G50" s="18"/>
      <c r="H50" s="28" t="str">
        <f>IF(B50="","",VLOOKUP(G50,Haltestellen!$A:$C,2)&amp;" Gl."&amp;VLOOKUP(G50,Haltestellen!$A:$C,3))</f>
        <v/>
      </c>
      <c r="I50" s="32"/>
      <c r="J50" s="71" t="str">
        <f>IF(B50="","",#REF!)</f>
        <v/>
      </c>
      <c r="K50" s="33" t="str">
        <f t="shared" si="52"/>
        <v/>
      </c>
      <c r="L50" s="34"/>
      <c r="M50" s="33" t="str">
        <f t="shared" si="21"/>
        <v/>
      </c>
      <c r="N50" s="34"/>
      <c r="O50" s="33" t="str">
        <f t="shared" si="22"/>
        <v/>
      </c>
      <c r="P50" s="34"/>
      <c r="Q50" s="33" t="str">
        <f t="shared" si="23"/>
        <v/>
      </c>
      <c r="R50" s="35"/>
      <c r="S50" s="33" t="str">
        <f t="shared" si="24"/>
        <v/>
      </c>
      <c r="T50" s="35"/>
      <c r="U50" s="33" t="str">
        <f t="shared" si="25"/>
        <v/>
      </c>
      <c r="V50" s="35"/>
      <c r="W50" s="33" t="str">
        <f t="shared" si="26"/>
        <v/>
      </c>
      <c r="X50" s="35"/>
      <c r="Y50" s="33" t="str">
        <f t="shared" si="7"/>
        <v/>
      </c>
      <c r="Z50" s="35"/>
      <c r="AA50" s="33" t="str">
        <f t="shared" si="8"/>
        <v/>
      </c>
      <c r="AB50" s="35"/>
      <c r="AC50" s="70" t="str">
        <f t="shared" si="9"/>
        <v/>
      </c>
      <c r="AD50" s="80" t="str">
        <f t="shared" si="10"/>
        <v/>
      </c>
      <c r="AE50" s="62" t="str">
        <f t="shared" si="11"/>
        <v/>
      </c>
      <c r="AF50" s="62" t="str">
        <f t="shared" si="12"/>
        <v/>
      </c>
      <c r="AG50" s="62" t="str">
        <f t="shared" si="13"/>
        <v/>
      </c>
      <c r="AH50" s="62" t="str">
        <f t="shared" si="14"/>
        <v/>
      </c>
      <c r="AI50" s="62" t="str">
        <f t="shared" si="15"/>
        <v/>
      </c>
      <c r="AJ50" s="62" t="str">
        <f t="shared" si="16"/>
        <v/>
      </c>
      <c r="AK50" s="62" t="str">
        <f t="shared" si="17"/>
        <v/>
      </c>
      <c r="AL50" s="62" t="str">
        <f t="shared" si="18"/>
        <v/>
      </c>
      <c r="AM50" s="81" t="str">
        <f t="shared" si="19"/>
        <v/>
      </c>
    </row>
    <row r="51" spans="1:39" x14ac:dyDescent="0.25">
      <c r="A51" s="28"/>
      <c r="B51" s="29"/>
      <c r="C51" s="18"/>
      <c r="D51" s="18"/>
      <c r="E51" s="28" t="str">
        <f>IF(B51="","",VLOOKUP(D51,Haltestellen!$A:$C,2)&amp;" Gl."&amp;VLOOKUP(D51,Haltestellen!$A:$C,3))</f>
        <v/>
      </c>
      <c r="F51" s="31"/>
      <c r="G51" s="18"/>
      <c r="H51" s="28" t="str">
        <f>IF(B51="","",VLOOKUP(G51,Haltestellen!$A:$C,2)&amp;" Gl."&amp;VLOOKUP(G51,Haltestellen!$A:$C,3))</f>
        <v/>
      </c>
      <c r="I51" s="32"/>
      <c r="J51" s="71" t="str">
        <f>IF(B51="","",#REF!)</f>
        <v/>
      </c>
      <c r="K51" s="33" t="str">
        <f t="shared" si="52"/>
        <v/>
      </c>
      <c r="L51" s="34"/>
      <c r="M51" s="33" t="str">
        <f t="shared" si="21"/>
        <v/>
      </c>
      <c r="N51" s="34"/>
      <c r="O51" s="33" t="str">
        <f t="shared" si="22"/>
        <v/>
      </c>
      <c r="P51" s="34"/>
      <c r="Q51" s="33" t="str">
        <f t="shared" si="23"/>
        <v/>
      </c>
      <c r="R51" s="35"/>
      <c r="S51" s="33" t="str">
        <f t="shared" si="24"/>
        <v/>
      </c>
      <c r="T51" s="35"/>
      <c r="U51" s="33" t="str">
        <f t="shared" si="25"/>
        <v/>
      </c>
      <c r="V51" s="35"/>
      <c r="W51" s="33" t="str">
        <f t="shared" si="26"/>
        <v/>
      </c>
      <c r="X51" s="35"/>
      <c r="Y51" s="33" t="str">
        <f t="shared" si="7"/>
        <v/>
      </c>
      <c r="Z51" s="35"/>
      <c r="AA51" s="33" t="str">
        <f t="shared" si="8"/>
        <v/>
      </c>
      <c r="AB51" s="35"/>
      <c r="AC51" s="70" t="str">
        <f t="shared" si="9"/>
        <v/>
      </c>
      <c r="AD51" s="80" t="str">
        <f t="shared" si="10"/>
        <v/>
      </c>
      <c r="AE51" s="62" t="str">
        <f t="shared" si="11"/>
        <v/>
      </c>
      <c r="AF51" s="62" t="str">
        <f t="shared" si="12"/>
        <v/>
      </c>
      <c r="AG51" s="62" t="str">
        <f t="shared" si="13"/>
        <v/>
      </c>
      <c r="AH51" s="62" t="str">
        <f t="shared" si="14"/>
        <v/>
      </c>
      <c r="AI51" s="62" t="str">
        <f t="shared" si="15"/>
        <v/>
      </c>
      <c r="AJ51" s="62" t="str">
        <f t="shared" si="16"/>
        <v/>
      </c>
      <c r="AK51" s="62" t="str">
        <f t="shared" si="17"/>
        <v/>
      </c>
      <c r="AL51" s="62" t="str">
        <f t="shared" si="18"/>
        <v/>
      </c>
      <c r="AM51" s="81" t="str">
        <f t="shared" si="19"/>
        <v/>
      </c>
    </row>
    <row r="52" spans="1:39" x14ac:dyDescent="0.25">
      <c r="A52" s="28"/>
      <c r="B52" s="29"/>
      <c r="C52" s="18"/>
      <c r="D52" s="18"/>
      <c r="E52" s="28" t="str">
        <f>IF(B52="","",VLOOKUP(D52,Haltestellen!$A:$C,2)&amp;" Gl."&amp;VLOOKUP(D52,Haltestellen!$A:$C,3))</f>
        <v/>
      </c>
      <c r="F52" s="31"/>
      <c r="G52" s="18"/>
      <c r="H52" s="28" t="str">
        <f>IF(B52="","",VLOOKUP(G52,Haltestellen!$A:$C,2)&amp;" Gl."&amp;VLOOKUP(G52,Haltestellen!$A:$C,3))</f>
        <v/>
      </c>
      <c r="I52" s="32"/>
      <c r="J52" s="71" t="str">
        <f>IF(B52="","",#REF!)</f>
        <v/>
      </c>
      <c r="K52" s="33" t="str">
        <f t="shared" si="52"/>
        <v/>
      </c>
      <c r="L52" s="34"/>
      <c r="M52" s="33" t="str">
        <f t="shared" si="21"/>
        <v/>
      </c>
      <c r="N52" s="34"/>
      <c r="O52" s="33" t="str">
        <f t="shared" si="22"/>
        <v/>
      </c>
      <c r="P52" s="34"/>
      <c r="Q52" s="33" t="str">
        <f t="shared" si="23"/>
        <v/>
      </c>
      <c r="R52" s="35"/>
      <c r="S52" s="33" t="str">
        <f t="shared" si="24"/>
        <v/>
      </c>
      <c r="T52" s="35"/>
      <c r="U52" s="33" t="str">
        <f t="shared" si="25"/>
        <v/>
      </c>
      <c r="V52" s="35"/>
      <c r="W52" s="33" t="str">
        <f t="shared" si="26"/>
        <v/>
      </c>
      <c r="X52" s="35"/>
      <c r="Y52" s="33" t="str">
        <f t="shared" si="7"/>
        <v/>
      </c>
      <c r="Z52" s="35"/>
      <c r="AA52" s="33" t="str">
        <f t="shared" si="8"/>
        <v/>
      </c>
      <c r="AB52" s="35"/>
      <c r="AC52" s="70" t="str">
        <f t="shared" si="9"/>
        <v/>
      </c>
      <c r="AD52" s="80" t="str">
        <f t="shared" si="10"/>
        <v/>
      </c>
      <c r="AE52" s="62" t="str">
        <f t="shared" si="11"/>
        <v/>
      </c>
      <c r="AF52" s="62" t="str">
        <f t="shared" si="12"/>
        <v/>
      </c>
      <c r="AG52" s="62" t="str">
        <f t="shared" si="13"/>
        <v/>
      </c>
      <c r="AH52" s="62" t="str">
        <f t="shared" si="14"/>
        <v/>
      </c>
      <c r="AI52" s="62" t="str">
        <f t="shared" si="15"/>
        <v/>
      </c>
      <c r="AJ52" s="62" t="str">
        <f t="shared" si="16"/>
        <v/>
      </c>
      <c r="AK52" s="62" t="str">
        <f t="shared" si="17"/>
        <v/>
      </c>
      <c r="AL52" s="62" t="str">
        <f t="shared" si="18"/>
        <v/>
      </c>
      <c r="AM52" s="81" t="str">
        <f t="shared" si="19"/>
        <v/>
      </c>
    </row>
    <row r="53" spans="1:39" x14ac:dyDescent="0.25">
      <c r="A53" s="28"/>
      <c r="B53" s="29"/>
      <c r="C53" s="18"/>
      <c r="D53" s="18"/>
      <c r="E53" s="28" t="str">
        <f>IF(B53="","",VLOOKUP(D53,Haltestellen!$A:$C,2)&amp;" Gl."&amp;VLOOKUP(D53,Haltestellen!$A:$C,3))</f>
        <v/>
      </c>
      <c r="F53" s="31"/>
      <c r="G53" s="18"/>
      <c r="H53" s="28" t="str">
        <f>IF(B53="","",VLOOKUP(G53,Haltestellen!$A:$C,2)&amp;" Gl."&amp;VLOOKUP(G53,Haltestellen!$A:$C,3))</f>
        <v/>
      </c>
      <c r="I53" s="32"/>
      <c r="J53" s="71" t="str">
        <f>IF(B53="","",#REF!)</f>
        <v/>
      </c>
      <c r="K53" s="33" t="str">
        <f t="shared" si="52"/>
        <v/>
      </c>
      <c r="L53" s="34"/>
      <c r="M53" s="33" t="str">
        <f t="shared" si="21"/>
        <v/>
      </c>
      <c r="N53" s="34"/>
      <c r="O53" s="33" t="str">
        <f t="shared" si="22"/>
        <v/>
      </c>
      <c r="P53" s="34"/>
      <c r="Q53" s="33" t="str">
        <f t="shared" si="23"/>
        <v/>
      </c>
      <c r="R53" s="35"/>
      <c r="S53" s="33" t="str">
        <f t="shared" si="24"/>
        <v/>
      </c>
      <c r="T53" s="35"/>
      <c r="U53" s="33" t="str">
        <f t="shared" si="25"/>
        <v/>
      </c>
      <c r="V53" s="35"/>
      <c r="W53" s="33" t="str">
        <f t="shared" si="26"/>
        <v/>
      </c>
      <c r="X53" s="35"/>
      <c r="Y53" s="33" t="str">
        <f t="shared" si="7"/>
        <v/>
      </c>
      <c r="Z53" s="35"/>
      <c r="AA53" s="33" t="str">
        <f t="shared" si="8"/>
        <v/>
      </c>
      <c r="AB53" s="35"/>
      <c r="AC53" s="70" t="str">
        <f t="shared" si="9"/>
        <v/>
      </c>
      <c r="AD53" s="80" t="str">
        <f t="shared" si="10"/>
        <v/>
      </c>
      <c r="AE53" s="62" t="str">
        <f t="shared" si="11"/>
        <v/>
      </c>
      <c r="AF53" s="62" t="str">
        <f t="shared" si="12"/>
        <v/>
      </c>
      <c r="AG53" s="62" t="str">
        <f t="shared" si="13"/>
        <v/>
      </c>
      <c r="AH53" s="62" t="str">
        <f t="shared" si="14"/>
        <v/>
      </c>
      <c r="AI53" s="62" t="str">
        <f t="shared" si="15"/>
        <v/>
      </c>
      <c r="AJ53" s="62" t="str">
        <f t="shared" si="16"/>
        <v/>
      </c>
      <c r="AK53" s="62" t="str">
        <f t="shared" si="17"/>
        <v/>
      </c>
      <c r="AL53" s="62" t="str">
        <f t="shared" si="18"/>
        <v/>
      </c>
      <c r="AM53" s="81" t="str">
        <f t="shared" si="19"/>
        <v/>
      </c>
    </row>
    <row r="54" spans="1:39" x14ac:dyDescent="0.25">
      <c r="A54" s="28"/>
      <c r="B54" s="29"/>
      <c r="C54" s="18"/>
      <c r="D54" s="18"/>
      <c r="E54" s="28" t="str">
        <f>IF(B54="","",VLOOKUP(D54,Haltestellen!$A:$C,2)&amp;" Gl."&amp;VLOOKUP(D54,Haltestellen!$A:$C,3))</f>
        <v/>
      </c>
      <c r="F54" s="31"/>
      <c r="G54" s="18"/>
      <c r="H54" s="28" t="str">
        <f>IF(B54="","",VLOOKUP(G54,Haltestellen!$A:$C,2)&amp;" Gl."&amp;VLOOKUP(G54,Haltestellen!$A:$C,3))</f>
        <v/>
      </c>
      <c r="I54" s="32"/>
      <c r="J54" s="71" t="str">
        <f>IF(B54="","",#REF!)</f>
        <v/>
      </c>
      <c r="K54" s="33" t="str">
        <f t="shared" si="52"/>
        <v/>
      </c>
      <c r="L54" s="34"/>
      <c r="M54" s="33" t="str">
        <f t="shared" si="21"/>
        <v/>
      </c>
      <c r="N54" s="34"/>
      <c r="O54" s="33" t="str">
        <f t="shared" si="22"/>
        <v/>
      </c>
      <c r="P54" s="34"/>
      <c r="Q54" s="33" t="str">
        <f t="shared" si="23"/>
        <v/>
      </c>
      <c r="R54" s="35"/>
      <c r="S54" s="33" t="str">
        <f t="shared" si="24"/>
        <v/>
      </c>
      <c r="T54" s="35"/>
      <c r="U54" s="33" t="str">
        <f t="shared" si="25"/>
        <v/>
      </c>
      <c r="V54" s="35"/>
      <c r="W54" s="33" t="str">
        <f t="shared" si="26"/>
        <v/>
      </c>
      <c r="X54" s="35"/>
      <c r="Y54" s="33" t="str">
        <f t="shared" si="7"/>
        <v/>
      </c>
      <c r="Z54" s="35"/>
      <c r="AA54" s="33" t="str">
        <f t="shared" si="8"/>
        <v/>
      </c>
      <c r="AB54" s="35"/>
      <c r="AC54" s="70" t="str">
        <f t="shared" si="9"/>
        <v/>
      </c>
      <c r="AD54" s="80" t="str">
        <f t="shared" si="10"/>
        <v/>
      </c>
      <c r="AE54" s="62" t="str">
        <f t="shared" si="11"/>
        <v/>
      </c>
      <c r="AF54" s="62" t="str">
        <f t="shared" si="12"/>
        <v/>
      </c>
      <c r="AG54" s="62" t="str">
        <f t="shared" si="13"/>
        <v/>
      </c>
      <c r="AH54" s="62" t="str">
        <f t="shared" si="14"/>
        <v/>
      </c>
      <c r="AI54" s="62" t="str">
        <f t="shared" si="15"/>
        <v/>
      </c>
      <c r="AJ54" s="62" t="str">
        <f t="shared" si="16"/>
        <v/>
      </c>
      <c r="AK54" s="62" t="str">
        <f t="shared" si="17"/>
        <v/>
      </c>
      <c r="AL54" s="62" t="str">
        <f t="shared" si="18"/>
        <v/>
      </c>
      <c r="AM54" s="81" t="str">
        <f t="shared" si="19"/>
        <v/>
      </c>
    </row>
    <row r="55" spans="1:39" x14ac:dyDescent="0.25">
      <c r="A55" s="28"/>
      <c r="B55" s="29"/>
      <c r="C55" s="18"/>
      <c r="D55" s="18"/>
      <c r="E55" s="28" t="str">
        <f>IF(B55="","",VLOOKUP(D55,Haltestellen!$A:$C,2)&amp;" Gl."&amp;VLOOKUP(D55,Haltestellen!$A:$C,3))</f>
        <v/>
      </c>
      <c r="F55" s="31"/>
      <c r="G55" s="18"/>
      <c r="H55" s="28" t="str">
        <f>IF(B55="","",VLOOKUP(G55,Haltestellen!$A:$C,2)&amp;" Gl."&amp;VLOOKUP(G55,Haltestellen!$A:$C,3))</f>
        <v/>
      </c>
      <c r="I55" s="32"/>
      <c r="J55" s="71" t="str">
        <f>IF(B55="","",#REF!)</f>
        <v/>
      </c>
      <c r="K55" s="33" t="str">
        <f t="shared" si="52"/>
        <v/>
      </c>
      <c r="L55" s="34"/>
      <c r="M55" s="33" t="str">
        <f t="shared" si="21"/>
        <v/>
      </c>
      <c r="N55" s="34"/>
      <c r="O55" s="33" t="str">
        <f t="shared" si="22"/>
        <v/>
      </c>
      <c r="P55" s="34"/>
      <c r="Q55" s="33" t="str">
        <f t="shared" si="23"/>
        <v/>
      </c>
      <c r="R55" s="35"/>
      <c r="S55" s="33" t="str">
        <f t="shared" si="24"/>
        <v/>
      </c>
      <c r="T55" s="35"/>
      <c r="U55" s="33" t="str">
        <f t="shared" si="25"/>
        <v/>
      </c>
      <c r="V55" s="35"/>
      <c r="W55" s="33" t="str">
        <f t="shared" si="26"/>
        <v/>
      </c>
      <c r="X55" s="35"/>
      <c r="Y55" s="33" t="str">
        <f t="shared" si="7"/>
        <v/>
      </c>
      <c r="Z55" s="35"/>
      <c r="AA55" s="33" t="str">
        <f t="shared" si="8"/>
        <v/>
      </c>
      <c r="AB55" s="35"/>
      <c r="AC55" s="70" t="str">
        <f t="shared" si="9"/>
        <v/>
      </c>
      <c r="AD55" s="80" t="str">
        <f t="shared" si="10"/>
        <v/>
      </c>
      <c r="AE55" s="62" t="str">
        <f t="shared" si="11"/>
        <v/>
      </c>
      <c r="AF55" s="62" t="str">
        <f t="shared" si="12"/>
        <v/>
      </c>
      <c r="AG55" s="62" t="str">
        <f t="shared" si="13"/>
        <v/>
      </c>
      <c r="AH55" s="62" t="str">
        <f t="shared" si="14"/>
        <v/>
      </c>
      <c r="AI55" s="62" t="str">
        <f t="shared" si="15"/>
        <v/>
      </c>
      <c r="AJ55" s="62" t="str">
        <f t="shared" si="16"/>
        <v/>
      </c>
      <c r="AK55" s="62" t="str">
        <f t="shared" si="17"/>
        <v/>
      </c>
      <c r="AL55" s="62" t="str">
        <f t="shared" si="18"/>
        <v/>
      </c>
      <c r="AM55" s="81" t="str">
        <f t="shared" si="19"/>
        <v/>
      </c>
    </row>
    <row r="56" spans="1:39" ht="15.75" thickBot="1" x14ac:dyDescent="0.3">
      <c r="A56" s="28"/>
      <c r="B56" s="29"/>
      <c r="C56" s="18"/>
      <c r="D56" s="18"/>
      <c r="E56" s="28" t="str">
        <f>IF(B56="","",VLOOKUP(D56,Haltestellen!$A:$C,2)&amp;" Gl."&amp;VLOOKUP(D56,Haltestellen!$A:$C,3))</f>
        <v/>
      </c>
      <c r="F56" s="31"/>
      <c r="G56" s="18"/>
      <c r="H56" s="28" t="str">
        <f>IF(B56="","",VLOOKUP(G56,Haltestellen!$A:$C,2)&amp;" Gl."&amp;VLOOKUP(G56,Haltestellen!$A:$C,3))</f>
        <v/>
      </c>
      <c r="I56" s="32"/>
      <c r="J56" s="72" t="str">
        <f>IF(B56="","",#REF!)</f>
        <v/>
      </c>
      <c r="K56" s="73" t="str">
        <f t="shared" si="52"/>
        <v/>
      </c>
      <c r="L56" s="74"/>
      <c r="M56" s="73" t="str">
        <f t="shared" si="21"/>
        <v/>
      </c>
      <c r="N56" s="74"/>
      <c r="O56" s="73" t="str">
        <f t="shared" si="22"/>
        <v/>
      </c>
      <c r="P56" s="74"/>
      <c r="Q56" s="73" t="str">
        <f t="shared" si="23"/>
        <v/>
      </c>
      <c r="R56" s="75"/>
      <c r="S56" s="73" t="str">
        <f t="shared" si="24"/>
        <v/>
      </c>
      <c r="T56" s="75"/>
      <c r="U56" s="73" t="str">
        <f t="shared" si="25"/>
        <v/>
      </c>
      <c r="V56" s="75"/>
      <c r="W56" s="73" t="str">
        <f t="shared" si="26"/>
        <v/>
      </c>
      <c r="X56" s="75"/>
      <c r="Y56" s="73" t="str">
        <f t="shared" si="7"/>
        <v/>
      </c>
      <c r="Z56" s="75"/>
      <c r="AA56" s="73" t="str">
        <f t="shared" si="8"/>
        <v/>
      </c>
      <c r="AB56" s="75"/>
      <c r="AC56" s="76" t="str">
        <f t="shared" si="9"/>
        <v/>
      </c>
      <c r="AD56" s="82" t="str">
        <f t="shared" si="10"/>
        <v/>
      </c>
      <c r="AE56" s="83" t="str">
        <f t="shared" si="11"/>
        <v/>
      </c>
      <c r="AF56" s="83" t="str">
        <f t="shared" si="12"/>
        <v/>
      </c>
      <c r="AG56" s="83" t="str">
        <f t="shared" si="13"/>
        <v/>
      </c>
      <c r="AH56" s="83" t="str">
        <f t="shared" si="14"/>
        <v/>
      </c>
      <c r="AI56" s="83" t="str">
        <f t="shared" si="15"/>
        <v/>
      </c>
      <c r="AJ56" s="83" t="str">
        <f t="shared" si="16"/>
        <v/>
      </c>
      <c r="AK56" s="83" t="str">
        <f t="shared" si="17"/>
        <v/>
      </c>
      <c r="AL56" s="83" t="str">
        <f t="shared" si="18"/>
        <v/>
      </c>
      <c r="AM56" s="84" t="str">
        <f t="shared" si="19"/>
        <v/>
      </c>
    </row>
  </sheetData>
  <autoFilter ref="A1:H56" xr:uid="{411C3AED-8C0B-4274-B084-628AC0B14EB2}"/>
  <phoneticPr fontId="14" type="noConversion"/>
  <conditionalFormatting sqref="D37:D41 D15:D24 D26:D35 D3:D13">
    <cfRule type="expression" dxfId="618" priority="175">
      <formula>$G2=$D3</formula>
    </cfRule>
  </conditionalFormatting>
  <pageMargins left="0.39370078740157483" right="0.39370078740157483" top="0.78740157480314965" bottom="0.78740157480314965" header="0.31496062992125984" footer="0.31496062992125984"/>
  <pageSetup paperSize="9" scale="54" orientation="landscape" r:id="rId1"/>
  <headerFooter>
    <oddHeader>&amp;LFahrpläne: IC / S-Bahn / K-Zug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1B024-A499-4069-A217-5AE91AF9BC4D}">
  <sheetPr codeName="Tabelle4">
    <tabColor theme="0" tint="-0.249977111117893"/>
    <pageSetUpPr fitToPage="1"/>
  </sheetPr>
  <dimension ref="A1:AB47"/>
  <sheetViews>
    <sheetView workbookViewId="0">
      <pane xSplit="2" ySplit="1" topLeftCell="C2" activePane="bottomRight" state="frozen"/>
      <selection activeCell="G2" sqref="G2"/>
      <selection pane="topRight" activeCell="G2" sqref="G2"/>
      <selection pane="bottomLeft" activeCell="G2" sqref="G2"/>
      <selection pane="bottomRight" activeCell="H3" sqref="H3"/>
    </sheetView>
  </sheetViews>
  <sheetFormatPr baseColWidth="10" defaultRowHeight="15" x14ac:dyDescent="0.25"/>
  <cols>
    <col min="1" max="1" width="6.28515625" style="58" bestFit="1" customWidth="1"/>
    <col min="2" max="2" width="8.42578125" bestFit="1" customWidth="1"/>
    <col min="3" max="3" width="18.140625" bestFit="1" customWidth="1"/>
    <col min="4" max="4" width="7.7109375" bestFit="1" customWidth="1"/>
    <col min="5" max="5" width="18.140625" bestFit="1" customWidth="1"/>
    <col min="6" max="6" width="5.5703125" style="58" bestFit="1" customWidth="1"/>
    <col min="7" max="7" width="8.28515625" bestFit="1" customWidth="1"/>
    <col min="8" max="8" width="7.42578125" style="58" bestFit="1" customWidth="1"/>
    <col min="9" max="9" width="10.5703125" style="58" bestFit="1" customWidth="1"/>
    <col min="10" max="10" width="13.85546875" bestFit="1" customWidth="1"/>
    <col min="11" max="11" width="3" bestFit="1" customWidth="1"/>
    <col min="12" max="12" width="8.5703125" bestFit="1" customWidth="1"/>
    <col min="13" max="13" width="6.28515625" bestFit="1" customWidth="1"/>
    <col min="14" max="14" width="3" bestFit="1" customWidth="1"/>
    <col min="15" max="15" width="6.28515625" style="58" bestFit="1" customWidth="1"/>
    <col min="16" max="16" width="6.5703125" bestFit="1" customWidth="1"/>
    <col min="17" max="17" width="2.42578125" bestFit="1" customWidth="1"/>
    <col min="18" max="18" width="8" style="43" bestFit="1" customWidth="1"/>
    <col min="19" max="19" width="5.85546875" style="43" bestFit="1" customWidth="1"/>
    <col min="20" max="20" width="3" style="43" bestFit="1" customWidth="1"/>
    <col min="21" max="21" width="5.5703125" style="43" bestFit="1" customWidth="1"/>
    <col min="22" max="22" width="3" style="43" bestFit="1" customWidth="1"/>
    <col min="23" max="23" width="1.7109375" style="43" customWidth="1"/>
    <col min="24" max="24" width="7.7109375" style="43" bestFit="1" customWidth="1"/>
    <col min="25" max="25" width="5.5703125" style="43" bestFit="1" customWidth="1"/>
    <col min="26" max="26" width="3" style="102" bestFit="1" customWidth="1"/>
    <col min="27" max="27" width="5.85546875" style="43" bestFit="1" customWidth="1"/>
    <col min="28" max="28" width="3" style="43" bestFit="1" customWidth="1"/>
  </cols>
  <sheetData>
    <row r="1" spans="1:28" s="51" customFormat="1" x14ac:dyDescent="0.25">
      <c r="A1" s="47" t="s">
        <v>2</v>
      </c>
      <c r="B1" s="48" t="s">
        <v>31</v>
      </c>
      <c r="C1" s="48" t="s">
        <v>32</v>
      </c>
      <c r="D1" s="48" t="s">
        <v>33</v>
      </c>
      <c r="E1" s="48" t="s">
        <v>32</v>
      </c>
      <c r="F1" s="47" t="s">
        <v>5</v>
      </c>
      <c r="G1" s="49" t="s">
        <v>34</v>
      </c>
      <c r="H1" s="48" t="s">
        <v>35</v>
      </c>
      <c r="I1" s="47" t="s">
        <v>36</v>
      </c>
      <c r="J1" s="47" t="s">
        <v>37</v>
      </c>
      <c r="K1" s="50">
        <v>20</v>
      </c>
      <c r="L1" s="51" t="s">
        <v>99</v>
      </c>
      <c r="M1" s="131" t="s">
        <v>100</v>
      </c>
      <c r="N1" s="131"/>
      <c r="O1" s="89" t="s">
        <v>101</v>
      </c>
      <c r="P1" s="131" t="s">
        <v>102</v>
      </c>
      <c r="Q1" s="131"/>
      <c r="R1" s="91" t="s">
        <v>103</v>
      </c>
      <c r="S1" s="139" t="s">
        <v>105</v>
      </c>
      <c r="T1" s="139"/>
      <c r="U1" s="139" t="s">
        <v>106</v>
      </c>
      <c r="V1" s="139"/>
      <c r="W1" s="105"/>
      <c r="X1" s="90" t="s">
        <v>104</v>
      </c>
      <c r="Y1" s="140" t="s">
        <v>105</v>
      </c>
      <c r="Z1" s="140"/>
      <c r="AA1" s="138" t="s">
        <v>106</v>
      </c>
      <c r="AB1" s="138"/>
    </row>
    <row r="2" spans="1:28" x14ac:dyDescent="0.25">
      <c r="A2" s="52">
        <v>1</v>
      </c>
      <c r="B2" s="53" t="s">
        <v>38</v>
      </c>
      <c r="C2" s="53" t="str">
        <f>IF($B2="","",VLOOKUP($B2,Haltestellen!$A:$C,2))</f>
        <v>Burgstein Gl.1/V</v>
      </c>
      <c r="D2" s="53" t="s">
        <v>39</v>
      </c>
      <c r="E2" s="53" t="str">
        <f>IF($D2="","",VLOOKUP($D2,Haltestellen!$A:$C,2))</f>
        <v>Altena Gl.1/N</v>
      </c>
      <c r="F2" s="54">
        <v>6.9444444444444397E-3</v>
      </c>
      <c r="G2" s="55"/>
      <c r="H2" s="56">
        <v>4.8611111111111103E-3</v>
      </c>
      <c r="I2" s="56">
        <v>4.1666666666666701E-3</v>
      </c>
      <c r="J2" s="57"/>
      <c r="L2" s="134" t="str">
        <f>IF(N2&lt;&gt;"","IC ABF1","")</f>
        <v>IC ABF1</v>
      </c>
      <c r="M2" s="136" t="str">
        <f>IF(N2&lt;&gt;"","Route","")</f>
        <v>Route</v>
      </c>
      <c r="N2" s="132">
        <v>1</v>
      </c>
      <c r="O2" s="92" t="str">
        <f>IF(N2="","","Relais")</f>
        <v>Relais</v>
      </c>
      <c r="P2" s="93" t="str">
        <f>IF(N2="","",VLOOKUP(N2,$A:$E,2))</f>
        <v>418.11</v>
      </c>
      <c r="Q2" s="93" t="str">
        <f>IF(N2="","",IF(RIGHT(P2,1)="1","V","N"))</f>
        <v>V</v>
      </c>
      <c r="R2" s="94"/>
      <c r="S2" s="101"/>
      <c r="T2" s="94"/>
      <c r="U2" s="94"/>
      <c r="V2" s="94"/>
      <c r="W2" s="94"/>
      <c r="X2" s="94" t="str">
        <f>IF(N2&lt;&gt;"","x","")</f>
        <v>x</v>
      </c>
      <c r="Y2" s="101" t="str">
        <f>IF(X2="x","IC AB","")</f>
        <v>IC AB</v>
      </c>
      <c r="Z2" s="103">
        <f>IF(X2="x",1,"")</f>
        <v>1</v>
      </c>
      <c r="AA2" s="101" t="str">
        <f>IF(X2="x","IC AN","")</f>
        <v>IC AN</v>
      </c>
      <c r="AB2" s="104">
        <f>IF(X2="x",1,"")</f>
        <v>1</v>
      </c>
    </row>
    <row r="3" spans="1:28" x14ac:dyDescent="0.25">
      <c r="A3" s="52">
        <v>2</v>
      </c>
      <c r="B3" s="55" t="s">
        <v>39</v>
      </c>
      <c r="C3" s="55" t="str">
        <f>IF($B3="","",VLOOKUP($B3,Haltestellen!$A:$C,2))</f>
        <v>Altena Gl.1/N</v>
      </c>
      <c r="D3" s="55" t="s">
        <v>29</v>
      </c>
      <c r="E3" s="55" t="str">
        <f>IF($D3="","",VLOOKUP($D3,Haltestellen!$A:$C,2))</f>
        <v>Burgstein Gl.1/N</v>
      </c>
      <c r="F3" s="56">
        <v>1.0416666666666701E-2</v>
      </c>
      <c r="G3" s="55"/>
      <c r="H3" s="52"/>
      <c r="I3" s="56">
        <v>4.1666666666666701E-3</v>
      </c>
      <c r="J3" s="57" t="str">
        <f t="shared" ref="J3:J40" si="0">IF(H3="","",H3*24/60*$K$1)</f>
        <v/>
      </c>
      <c r="L3" s="135"/>
      <c r="M3" s="137"/>
      <c r="N3" s="133"/>
      <c r="O3" s="95" t="str">
        <f>IF(N2="","","Relais")</f>
        <v>Relais</v>
      </c>
      <c r="P3" s="96" t="str">
        <f>IF(N2="","",VLOOKUP(N2,$A:$E,4))</f>
        <v>315.12</v>
      </c>
      <c r="Q3" s="96" t="str">
        <f>IF(N2="","",IF(RIGHT(P3,1)="1","V","N"))</f>
        <v>N</v>
      </c>
      <c r="R3" s="97" t="str">
        <f>IF(N2&lt;&gt;"","x","")</f>
        <v>x</v>
      </c>
      <c r="S3" s="100" t="str">
        <f>IF(R3="x","IC AN")</f>
        <v>IC AN</v>
      </c>
      <c r="T3" s="99">
        <v>2</v>
      </c>
      <c r="U3" s="100" t="str">
        <f>IF(R3="x","IC AB","")</f>
        <v>IC AB</v>
      </c>
      <c r="V3" s="97">
        <v>1</v>
      </c>
      <c r="W3" s="97"/>
      <c r="X3" s="97"/>
      <c r="Y3" s="97"/>
      <c r="Z3" s="99"/>
      <c r="AA3" s="97"/>
      <c r="AB3" s="98"/>
    </row>
    <row r="4" spans="1:28" x14ac:dyDescent="0.25">
      <c r="A4" s="52">
        <v>3</v>
      </c>
      <c r="B4" s="55" t="s">
        <v>29</v>
      </c>
      <c r="C4" s="55" t="str">
        <f>IF($B4="","",VLOOKUP($B4,Haltestellen!$A:$C,2))</f>
        <v>Burgstein Gl.1/N</v>
      </c>
      <c r="D4" s="55" t="s">
        <v>38</v>
      </c>
      <c r="E4" s="55" t="str">
        <f>IF($D4="","",VLOOKUP($D4,Haltestellen!$A:$C,2))</f>
        <v>Burgstein Gl.1/V</v>
      </c>
      <c r="F4" s="56">
        <v>1.52777777777778E-2</v>
      </c>
      <c r="G4" s="55"/>
      <c r="H4" s="52"/>
      <c r="I4" s="56">
        <v>4.1666666666666701E-3</v>
      </c>
      <c r="J4" s="57" t="str">
        <f t="shared" si="0"/>
        <v/>
      </c>
      <c r="L4" s="134" t="str">
        <f>IF(N4&lt;&gt;"","IC ABF2","")</f>
        <v>IC ABF2</v>
      </c>
      <c r="M4" s="136" t="str">
        <f>IF(N4&lt;&gt;"","Route","")</f>
        <v>Route</v>
      </c>
      <c r="N4" s="132">
        <v>2</v>
      </c>
      <c r="O4" s="92" t="str">
        <f>IF(N4="","","Relais")</f>
        <v>Relais</v>
      </c>
      <c r="P4" s="93" t="str">
        <f>IF(N4="","",VLOOKUP(N4,$A:$E,2))</f>
        <v>315.12</v>
      </c>
      <c r="Q4" s="93" t="str">
        <f>IF(N4="","",IF(RIGHT(P4,1)="1","V","N"))</f>
        <v>N</v>
      </c>
      <c r="R4" s="94"/>
      <c r="S4" s="101"/>
      <c r="T4" s="94"/>
      <c r="U4" s="94"/>
      <c r="V4" s="94"/>
      <c r="W4" s="94"/>
      <c r="X4" s="94" t="str">
        <f>IF(N4&lt;&gt;"","x","")</f>
        <v>x</v>
      </c>
      <c r="Y4" s="101" t="str">
        <f>IF(X4="x","IC AB","")</f>
        <v>IC AB</v>
      </c>
      <c r="Z4" s="103">
        <f>IF(X4="x",Z2+1,"")</f>
        <v>2</v>
      </c>
      <c r="AA4" s="101" t="str">
        <f>IF(X4="x","IC AN","")</f>
        <v>IC AN</v>
      </c>
      <c r="AB4" s="104">
        <f>IF(X4="x",AB2+1,"")</f>
        <v>2</v>
      </c>
    </row>
    <row r="5" spans="1:28" x14ac:dyDescent="0.25">
      <c r="A5" s="52">
        <v>4</v>
      </c>
      <c r="B5" s="55" t="s">
        <v>38</v>
      </c>
      <c r="C5" s="55" t="str">
        <f>IF($B5="","",VLOOKUP($B5,Haltestellen!$A:$C,2))</f>
        <v>Burgstein Gl.1/V</v>
      </c>
      <c r="D5" s="55" t="s">
        <v>40</v>
      </c>
      <c r="E5" s="55" t="str">
        <f>IF($D5="","",VLOOKUP($D5,Haltestellen!$A:$C,2))</f>
        <v>Altena Gl.1/V</v>
      </c>
      <c r="F5" s="56">
        <v>9.7222222222222206E-3</v>
      </c>
      <c r="G5" s="55"/>
      <c r="H5" s="52"/>
      <c r="I5" s="56">
        <v>4.1666666666666701E-3</v>
      </c>
      <c r="J5" s="57" t="str">
        <f t="shared" si="0"/>
        <v/>
      </c>
      <c r="L5" s="135"/>
      <c r="M5" s="137"/>
      <c r="N5" s="133"/>
      <c r="O5" s="95" t="str">
        <f>IF(N4="","","Relais")</f>
        <v>Relais</v>
      </c>
      <c r="P5" s="96" t="str">
        <f>IF(N4="","",VLOOKUP(N4,$A:$E,4))</f>
        <v>418.12</v>
      </c>
      <c r="Q5" s="96" t="str">
        <f>IF(N4="","",IF(RIGHT(P5,1)="1","V","N"))</f>
        <v>N</v>
      </c>
      <c r="R5" s="97" t="str">
        <f>IF(N4&lt;&gt;"","x","")</f>
        <v>x</v>
      </c>
      <c r="S5" s="100" t="str">
        <f>IF(R5="x",S3,"")</f>
        <v>IC AN</v>
      </c>
      <c r="T5" s="99">
        <f>IF(R5="x",T3+1,"")</f>
        <v>3</v>
      </c>
      <c r="U5" s="100" t="str">
        <f>IF(R5="x","IC AB","")</f>
        <v>IC AB</v>
      </c>
      <c r="V5" s="97">
        <f>IF(R5="x",V3+1,"")</f>
        <v>2</v>
      </c>
      <c r="W5" s="97"/>
      <c r="X5" s="97"/>
      <c r="Y5" s="97"/>
      <c r="Z5" s="99"/>
      <c r="AA5" s="97"/>
      <c r="AB5" s="98"/>
    </row>
    <row r="6" spans="1:28" x14ac:dyDescent="0.25">
      <c r="A6" s="52">
        <v>5</v>
      </c>
      <c r="B6" s="55" t="s">
        <v>40</v>
      </c>
      <c r="C6" s="55" t="str">
        <f>IF($B6="","",VLOOKUP($B6,Haltestellen!$A:$C,2))</f>
        <v>Altena Gl.1/V</v>
      </c>
      <c r="D6" s="55" t="s">
        <v>41</v>
      </c>
      <c r="E6" s="55" t="str">
        <f>IF($D6="","",VLOOKUP($D6,Haltestellen!$A:$C,2))</f>
        <v>Altstadt Gl.2/N</v>
      </c>
      <c r="F6" s="56">
        <v>1.0416666666666701E-2</v>
      </c>
      <c r="G6" s="55"/>
      <c r="H6" s="52"/>
      <c r="I6" s="56">
        <v>6.9444444444444397E-3</v>
      </c>
      <c r="J6" s="57" t="str">
        <f t="shared" si="0"/>
        <v/>
      </c>
      <c r="L6" s="134" t="str">
        <f>IF(N6&lt;&gt;"","IC ABF3","")</f>
        <v>IC ABF3</v>
      </c>
      <c r="M6" s="136" t="str">
        <f>IF(N6&lt;&gt;"","Route","")</f>
        <v>Route</v>
      </c>
      <c r="N6" s="132">
        <v>3</v>
      </c>
      <c r="O6" s="92" t="str">
        <f>IF(N6="","","Relais")</f>
        <v>Relais</v>
      </c>
      <c r="P6" s="93" t="str">
        <f>IF(N6="","",VLOOKUP(N6,$A:$E,2))</f>
        <v>418.12</v>
      </c>
      <c r="Q6" s="93" t="str">
        <f>IF(N6="","",IF(RIGHT(P6,1)="1","V","N"))</f>
        <v>N</v>
      </c>
      <c r="R6" s="94"/>
      <c r="S6" s="101"/>
      <c r="T6" s="94"/>
      <c r="U6" s="94"/>
      <c r="V6" s="94"/>
      <c r="W6" s="94"/>
      <c r="X6" s="94" t="str">
        <f>IF(N6&lt;&gt;"","x","")</f>
        <v>x</v>
      </c>
      <c r="Y6" s="101" t="str">
        <f>IF(X6="x","IC AB","")</f>
        <v>IC AB</v>
      </c>
      <c r="Z6" s="103">
        <f>IF(X6="x",Z4+1,"")</f>
        <v>3</v>
      </c>
      <c r="AA6" s="101" t="str">
        <f>IF(X6="x","IC AN","")</f>
        <v>IC AN</v>
      </c>
      <c r="AB6" s="104">
        <f>IF(X6="x",AB4+1,"")</f>
        <v>3</v>
      </c>
    </row>
    <row r="7" spans="1:28" x14ac:dyDescent="0.25">
      <c r="A7" s="52">
        <v>6</v>
      </c>
      <c r="B7" s="55" t="s">
        <v>41</v>
      </c>
      <c r="C7" s="55" t="str">
        <f>IF($B7="","",VLOOKUP($B7,Haltestellen!$A:$C,2))</f>
        <v>Altstadt Gl.2/N</v>
      </c>
      <c r="D7" s="55" t="s">
        <v>29</v>
      </c>
      <c r="E7" s="55" t="str">
        <f>IF($D7="","",VLOOKUP($D7,Haltestellen!$A:$C,2))</f>
        <v>Burgstein Gl.1/N</v>
      </c>
      <c r="F7" s="56">
        <v>1.7361111111111101E-2</v>
      </c>
      <c r="G7" s="55"/>
      <c r="H7" s="52"/>
      <c r="I7" s="56">
        <v>4.1666666666666701E-3</v>
      </c>
      <c r="J7" s="57" t="str">
        <f t="shared" si="0"/>
        <v/>
      </c>
      <c r="L7" s="135"/>
      <c r="M7" s="137"/>
      <c r="N7" s="133"/>
      <c r="O7" s="95" t="str">
        <f>IF(N6="","","Relais")</f>
        <v>Relais</v>
      </c>
      <c r="P7" s="96" t="str">
        <f>IF(N6="","",VLOOKUP(N6,$A:$E,4))</f>
        <v>418.11</v>
      </c>
      <c r="Q7" s="96" t="str">
        <f>IF(N6="","",IF(RIGHT(P7,1)="1","V","N"))</f>
        <v>V</v>
      </c>
      <c r="R7" s="97" t="str">
        <f>IF(N6&lt;&gt;"","x","")</f>
        <v>x</v>
      </c>
      <c r="S7" s="100" t="str">
        <f>IF(R7="x",S5,"")</f>
        <v>IC AN</v>
      </c>
      <c r="T7" s="99">
        <f>IF(R7="x",T5+1,"")</f>
        <v>4</v>
      </c>
      <c r="U7" s="100" t="str">
        <f>IF(R7="x","IC AB","")</f>
        <v>IC AB</v>
      </c>
      <c r="V7" s="97">
        <f>IF(R7="x",V5+1,"")</f>
        <v>3</v>
      </c>
      <c r="W7" s="97"/>
      <c r="X7" s="97"/>
      <c r="Y7" s="97"/>
      <c r="Z7" s="99"/>
      <c r="AA7" s="97"/>
      <c r="AB7" s="98"/>
    </row>
    <row r="8" spans="1:28" x14ac:dyDescent="0.25">
      <c r="A8" s="52">
        <v>7</v>
      </c>
      <c r="B8" s="55" t="s">
        <v>29</v>
      </c>
      <c r="C8" s="55" t="str">
        <f>IF($B8="","",VLOOKUP($B8,Haltestellen!$A:$C,2))</f>
        <v>Burgstein Gl.1/N</v>
      </c>
      <c r="D8" s="55" t="s">
        <v>41</v>
      </c>
      <c r="E8" s="55" t="str">
        <f>IF($D8="","",VLOOKUP($D8,Haltestellen!$A:$C,2))</f>
        <v>Altstadt Gl.2/N</v>
      </c>
      <c r="F8" s="56">
        <v>1.0416666666666701E-2</v>
      </c>
      <c r="G8" s="55"/>
      <c r="H8" s="52"/>
      <c r="I8" s="56">
        <v>6.9444444444444397E-3</v>
      </c>
      <c r="J8" s="57" t="str">
        <f t="shared" si="0"/>
        <v/>
      </c>
      <c r="L8" s="134" t="str">
        <f>IF(N8&lt;&gt;"","IC ABF4","")</f>
        <v>IC ABF4</v>
      </c>
      <c r="M8" s="136" t="str">
        <f>IF(N8&lt;&gt;"","Route","")</f>
        <v>Route</v>
      </c>
      <c r="N8" s="132">
        <v>4</v>
      </c>
      <c r="O8" s="92" t="str">
        <f>IF(N8="","","Relais")</f>
        <v>Relais</v>
      </c>
      <c r="P8" s="93" t="str">
        <f>IF(N8="","",VLOOKUP(N8,$A:$E,2))</f>
        <v>418.11</v>
      </c>
      <c r="Q8" s="93" t="str">
        <f>IF(N8="","",IF(RIGHT(P8,1)="1","V","N"))</f>
        <v>V</v>
      </c>
      <c r="R8" s="94"/>
      <c r="S8" s="101"/>
      <c r="T8" s="94"/>
      <c r="U8" s="94"/>
      <c r="V8" s="94"/>
      <c r="W8" s="94"/>
      <c r="X8" s="94" t="str">
        <f>IF(N8&lt;&gt;"","x","")</f>
        <v>x</v>
      </c>
      <c r="Y8" s="101" t="str">
        <f>IF(X8="x","IC AB","")</f>
        <v>IC AB</v>
      </c>
      <c r="Z8" s="103">
        <f>IF(X8="x",Z6+1,"")</f>
        <v>4</v>
      </c>
      <c r="AA8" s="101" t="str">
        <f>IF(X8="x","IC AN","")</f>
        <v>IC AN</v>
      </c>
      <c r="AB8" s="104">
        <f>IF(X8="x",AB6+1,"")</f>
        <v>4</v>
      </c>
    </row>
    <row r="9" spans="1:28" x14ac:dyDescent="0.25">
      <c r="A9" s="52">
        <v>8</v>
      </c>
      <c r="B9" s="55" t="s">
        <v>29</v>
      </c>
      <c r="C9" s="55" t="str">
        <f>IF($B9="","",VLOOKUP($B9,Haltestellen!$A:$C,2))</f>
        <v>Burgstein Gl.1/N</v>
      </c>
      <c r="D9" s="55" t="s">
        <v>40</v>
      </c>
      <c r="E9" s="55" t="str">
        <f>IF($D9="","",VLOOKUP($D9,Haltestellen!$A:$C,2))</f>
        <v>Altena Gl.1/V</v>
      </c>
      <c r="F9" s="56">
        <v>2.4305555555555601E-2</v>
      </c>
      <c r="G9" s="55"/>
      <c r="H9" s="52"/>
      <c r="I9" s="56">
        <v>4.1666666666666701E-3</v>
      </c>
      <c r="J9" s="57" t="str">
        <f t="shared" si="0"/>
        <v/>
      </c>
      <c r="L9" s="135"/>
      <c r="M9" s="137"/>
      <c r="N9" s="133"/>
      <c r="O9" s="95" t="str">
        <f>IF(N8="","","Relais")</f>
        <v>Relais</v>
      </c>
      <c r="P9" s="96" t="str">
        <f>IF(N8="","",VLOOKUP(N8,$A:$E,4))</f>
        <v>315.11</v>
      </c>
      <c r="Q9" s="96" t="str">
        <f>IF(N8="","",IF(RIGHT(P9,1)="1","V","N"))</f>
        <v>V</v>
      </c>
      <c r="R9" s="97" t="str">
        <f>IF(N8&lt;&gt;"","x","")</f>
        <v>x</v>
      </c>
      <c r="S9" s="100" t="str">
        <f>IF(R9="x",S7,"")</f>
        <v>IC AN</v>
      </c>
      <c r="T9" s="99">
        <f>IF(R9="x",T7+1,"")</f>
        <v>5</v>
      </c>
      <c r="U9" s="100" t="str">
        <f>IF(R9="x","IC AB","")</f>
        <v>IC AB</v>
      </c>
      <c r="V9" s="97">
        <f>IF(R9="x",V7+1,"")</f>
        <v>4</v>
      </c>
      <c r="W9" s="97"/>
      <c r="X9" s="97"/>
      <c r="Y9" s="97"/>
      <c r="Z9" s="99"/>
      <c r="AA9" s="97"/>
      <c r="AB9" s="98"/>
    </row>
    <row r="10" spans="1:28" x14ac:dyDescent="0.25">
      <c r="A10" s="52">
        <v>9</v>
      </c>
      <c r="B10" s="55" t="s">
        <v>40</v>
      </c>
      <c r="C10" s="55" t="str">
        <f>IF($B10="","",VLOOKUP($B10,Haltestellen!$A:$C,2))</f>
        <v>Altena Gl.1/V</v>
      </c>
      <c r="D10" s="55" t="s">
        <v>38</v>
      </c>
      <c r="E10" s="55" t="str">
        <f>IF($D10="","",VLOOKUP($D10,Haltestellen!$A:$C,2))</f>
        <v>Burgstein Gl.1/V</v>
      </c>
      <c r="F10" s="56">
        <v>2.0833333333333301E-2</v>
      </c>
      <c r="G10" s="55"/>
      <c r="H10" s="52"/>
      <c r="I10" s="56">
        <v>4.1666666666666701E-3</v>
      </c>
      <c r="J10" s="57" t="str">
        <f t="shared" si="0"/>
        <v/>
      </c>
      <c r="L10" s="134" t="str">
        <f>IF(N10&lt;&gt;"","IC ABF5","")</f>
        <v>IC ABF5</v>
      </c>
      <c r="M10" s="136" t="str">
        <f>IF(N10&lt;&gt;"","Route","")</f>
        <v>Route</v>
      </c>
      <c r="N10" s="132">
        <v>5</v>
      </c>
      <c r="O10" s="92" t="str">
        <f>IF(N10="","","Relais")</f>
        <v>Relais</v>
      </c>
      <c r="P10" s="93" t="str">
        <f>IF(N10="","",VLOOKUP(N10,$A:$E,2))</f>
        <v>315.11</v>
      </c>
      <c r="Q10" s="93" t="str">
        <f>IF(N10="","",IF(RIGHT(P10,1)="1","V","N"))</f>
        <v>V</v>
      </c>
      <c r="R10" s="94"/>
      <c r="S10" s="101"/>
      <c r="T10" s="94"/>
      <c r="U10" s="94"/>
      <c r="V10" s="94"/>
      <c r="W10" s="94"/>
      <c r="X10" s="94" t="str">
        <f>IF(N10&lt;&gt;"","x","")</f>
        <v>x</v>
      </c>
      <c r="Y10" s="101" t="str">
        <f>IF(X10="x","IC AB","")</f>
        <v>IC AB</v>
      </c>
      <c r="Z10" s="103">
        <f>IF(X10="x",Z8+1,"")</f>
        <v>5</v>
      </c>
      <c r="AA10" s="101" t="str">
        <f>IF(X10="x","IC AN","")</f>
        <v>IC AN</v>
      </c>
      <c r="AB10" s="104">
        <f>IF(X10="x",AB8+1,"")</f>
        <v>5</v>
      </c>
    </row>
    <row r="11" spans="1:28" x14ac:dyDescent="0.25">
      <c r="A11" s="52">
        <v>10</v>
      </c>
      <c r="B11" s="55" t="s">
        <v>41</v>
      </c>
      <c r="C11" s="55" t="str">
        <f>IF($B11="","",VLOOKUP($B11,Haltestellen!$A:$C,2))</f>
        <v>Altstadt Gl.2/N</v>
      </c>
      <c r="D11" s="55" t="s">
        <v>40</v>
      </c>
      <c r="E11" s="55" t="str">
        <f>IF($D11="","",VLOOKUP($D11,Haltestellen!$A:$C,2))</f>
        <v>Altena Gl.1/V</v>
      </c>
      <c r="F11" s="56">
        <v>1.7361111111111101E-2</v>
      </c>
      <c r="G11" s="55"/>
      <c r="H11" s="52"/>
      <c r="I11" s="56">
        <v>4.1666666666666701E-3</v>
      </c>
      <c r="J11" s="57" t="str">
        <f t="shared" si="0"/>
        <v/>
      </c>
      <c r="L11" s="135"/>
      <c r="M11" s="137"/>
      <c r="N11" s="133"/>
      <c r="O11" s="95" t="str">
        <f>IF(N10="","","Relais")</f>
        <v>Relais</v>
      </c>
      <c r="P11" s="96" t="str">
        <f>IF(N10="","",VLOOKUP(N10,$A:$E,4))</f>
        <v>112.12</v>
      </c>
      <c r="Q11" s="96" t="str">
        <f>IF(N10="","",IF(RIGHT(P11,1)="1","V","N"))</f>
        <v>N</v>
      </c>
      <c r="R11" s="97" t="str">
        <f>IF(N10&lt;&gt;"","x","")</f>
        <v>x</v>
      </c>
      <c r="S11" s="100" t="str">
        <f>IF(R11="x",S9,"")</f>
        <v>IC AN</v>
      </c>
      <c r="T11" s="99">
        <f>IF(R11="x",T9+1,"")</f>
        <v>6</v>
      </c>
      <c r="U11" s="100" t="str">
        <f>IF(R11="x","IC AB","")</f>
        <v>IC AB</v>
      </c>
      <c r="V11" s="97">
        <f>IF(R11="x",V9+1,"")</f>
        <v>5</v>
      </c>
      <c r="W11" s="97"/>
      <c r="X11" s="97"/>
      <c r="Y11" s="97"/>
      <c r="Z11" s="99"/>
      <c r="AA11" s="97"/>
      <c r="AB11" s="98"/>
    </row>
    <row r="12" spans="1:28" x14ac:dyDescent="0.25">
      <c r="A12" s="52">
        <v>11</v>
      </c>
      <c r="B12" s="55" t="s">
        <v>40</v>
      </c>
      <c r="C12" s="55" t="str">
        <f>IF($B12="","",VLOOKUP($B12,Haltestellen!$A:$C,2))</f>
        <v>Altena Gl.1/V</v>
      </c>
      <c r="D12" s="55" t="s">
        <v>29</v>
      </c>
      <c r="E12" s="55" t="str">
        <f>IF($D12="","",VLOOKUP($D12,Haltestellen!$A:$C,2))</f>
        <v>Burgstein Gl.1/N</v>
      </c>
      <c r="F12" s="56">
        <v>6.2500000000000003E-3</v>
      </c>
      <c r="G12" s="55"/>
      <c r="H12" s="52"/>
      <c r="I12" s="56">
        <v>4.1666666666666701E-3</v>
      </c>
      <c r="J12" s="57" t="str">
        <f t="shared" si="0"/>
        <v/>
      </c>
      <c r="L12" s="134" t="str">
        <f>IF(N12&lt;&gt;"","IC ABF6","")</f>
        <v>IC ABF6</v>
      </c>
      <c r="M12" s="136" t="str">
        <f>IF(N12&lt;&gt;"","Route","")</f>
        <v>Route</v>
      </c>
      <c r="N12" s="132">
        <v>6</v>
      </c>
      <c r="O12" s="92" t="str">
        <f>IF(N12="","","Relais")</f>
        <v>Relais</v>
      </c>
      <c r="P12" s="93" t="str">
        <f>IF(N12="","",VLOOKUP(N12,$A:$E,2))</f>
        <v>112.12</v>
      </c>
      <c r="Q12" s="93" t="str">
        <f>IF(N12="","",IF(RIGHT(P12,1)="1","V","N"))</f>
        <v>N</v>
      </c>
      <c r="R12" s="94"/>
      <c r="S12" s="101"/>
      <c r="T12" s="94"/>
      <c r="U12" s="94"/>
      <c r="V12" s="94"/>
      <c r="W12" s="94"/>
      <c r="X12" s="94" t="str">
        <f>IF(N12&lt;&gt;"","x","")</f>
        <v>x</v>
      </c>
      <c r="Y12" s="101" t="str">
        <f>IF(X12="x","IC AB","")</f>
        <v>IC AB</v>
      </c>
      <c r="Z12" s="103">
        <f>IF(X12="x",Z10+1,"")</f>
        <v>6</v>
      </c>
      <c r="AA12" s="101" t="str">
        <f>IF(X12="x","IC AN","")</f>
        <v>IC AN</v>
      </c>
      <c r="AB12" s="104">
        <f>IF(X12="x",AB10+1,"")</f>
        <v>6</v>
      </c>
    </row>
    <row r="13" spans="1:28" x14ac:dyDescent="0.25">
      <c r="A13" s="52">
        <v>12</v>
      </c>
      <c r="B13" s="55" t="s">
        <v>41</v>
      </c>
      <c r="C13" s="55" t="str">
        <f>IF($B13="","",VLOOKUP($B13,Haltestellen!$A:$C,2))</f>
        <v>Altstadt Gl.2/N</v>
      </c>
      <c r="D13" s="55" t="s">
        <v>39</v>
      </c>
      <c r="E13" s="55" t="str">
        <f>IF($D13="","",VLOOKUP($D13,Haltestellen!$A:$C,2))</f>
        <v>Altena Gl.1/N</v>
      </c>
      <c r="F13" s="56">
        <v>1.3194444444444399E-2</v>
      </c>
      <c r="G13" s="55"/>
      <c r="H13" s="52"/>
      <c r="I13" s="56">
        <v>4.1666666666666701E-3</v>
      </c>
      <c r="J13" s="57" t="str">
        <f t="shared" si="0"/>
        <v/>
      </c>
      <c r="L13" s="135"/>
      <c r="M13" s="137"/>
      <c r="N13" s="133"/>
      <c r="O13" s="95" t="str">
        <f>IF(N12="","","Relais")</f>
        <v>Relais</v>
      </c>
      <c r="P13" s="96" t="str">
        <f>IF(N12="","",VLOOKUP(N12,$A:$E,4))</f>
        <v>418.12</v>
      </c>
      <c r="Q13" s="96" t="str">
        <f>IF(N12="","",IF(RIGHT(P13,1)="1","V","N"))</f>
        <v>N</v>
      </c>
      <c r="R13" s="97" t="str">
        <f>IF(N12&lt;&gt;"","x","")</f>
        <v>x</v>
      </c>
      <c r="S13" s="100" t="str">
        <f>IF(R13="x",S11,"")</f>
        <v>IC AN</v>
      </c>
      <c r="T13" s="99">
        <f>IF(R13="x",T11+1,"")</f>
        <v>7</v>
      </c>
      <c r="U13" s="100" t="str">
        <f>IF(R13="x","IC AB","")</f>
        <v>IC AB</v>
      </c>
      <c r="V13" s="97">
        <f>IF(R13="x",V11+1,"")</f>
        <v>6</v>
      </c>
      <c r="W13" s="97"/>
      <c r="X13" s="97"/>
      <c r="Y13" s="97"/>
      <c r="Z13" s="99"/>
      <c r="AA13" s="97"/>
      <c r="AB13" s="98"/>
    </row>
    <row r="14" spans="1:28" x14ac:dyDescent="0.25">
      <c r="A14" s="52">
        <v>13</v>
      </c>
      <c r="B14" s="55" t="s">
        <v>39</v>
      </c>
      <c r="C14" s="55" t="str">
        <f>IF($B14="","",VLOOKUP($B14,Haltestellen!$A:$C,2))</f>
        <v>Altena Gl.1/N</v>
      </c>
      <c r="D14" s="55" t="s">
        <v>41</v>
      </c>
      <c r="E14" s="55" t="str">
        <f>IF($D14="","",VLOOKUP($D14,Haltestellen!$A:$C,2))</f>
        <v>Altstadt Gl.2/N</v>
      </c>
      <c r="F14" s="56">
        <v>1.3194444444444399E-2</v>
      </c>
      <c r="G14" s="55"/>
      <c r="H14" s="52"/>
      <c r="I14" s="56">
        <v>6.9444444444444397E-3</v>
      </c>
      <c r="J14" s="57" t="str">
        <f t="shared" si="0"/>
        <v/>
      </c>
      <c r="L14" s="134" t="str">
        <f>IF(N14&lt;&gt;"","IC ABF7","")</f>
        <v>IC ABF7</v>
      </c>
      <c r="M14" s="136" t="str">
        <f>IF(N14&lt;&gt;"","Route","")</f>
        <v>Route</v>
      </c>
      <c r="N14" s="132">
        <v>7</v>
      </c>
      <c r="O14" s="92" t="str">
        <f>IF(N14="","","Relais")</f>
        <v>Relais</v>
      </c>
      <c r="P14" s="93" t="str">
        <f>IF(N14="","",VLOOKUP(N14,$A:$E,2))</f>
        <v>418.12</v>
      </c>
      <c r="Q14" s="93" t="str">
        <f>IF(N14="","",IF(RIGHT(P14,1)="1","V","N"))</f>
        <v>N</v>
      </c>
      <c r="R14" s="94"/>
      <c r="S14" s="101"/>
      <c r="T14" s="94"/>
      <c r="U14" s="94"/>
      <c r="V14" s="94"/>
      <c r="W14" s="94"/>
      <c r="X14" s="94" t="str">
        <f>IF(N14&lt;&gt;"","x","")</f>
        <v>x</v>
      </c>
      <c r="Y14" s="101" t="str">
        <f>IF(X14="x","IC AB","")</f>
        <v>IC AB</v>
      </c>
      <c r="Z14" s="103">
        <f>IF(X14="x",Z12+1,"")</f>
        <v>7</v>
      </c>
      <c r="AA14" s="101" t="str">
        <f>IF(X14="x","IC AN","")</f>
        <v>IC AN</v>
      </c>
      <c r="AB14" s="104">
        <f>IF(X14="x",AB12+1,"")</f>
        <v>7</v>
      </c>
    </row>
    <row r="15" spans="1:28" x14ac:dyDescent="0.25">
      <c r="A15" s="52"/>
      <c r="B15" s="55"/>
      <c r="C15" s="55" t="str">
        <f>IF($B15="","",VLOOKUP($B15,Haltestellen!$A:$C,2))</f>
        <v/>
      </c>
      <c r="D15" s="55"/>
      <c r="E15" s="55" t="str">
        <f>IF($D15="","",VLOOKUP($D15,Haltestellen!$A:$C,2))</f>
        <v/>
      </c>
      <c r="F15" s="52"/>
      <c r="G15" s="55"/>
      <c r="H15" s="52"/>
      <c r="I15" s="52"/>
      <c r="J15" s="57" t="str">
        <f t="shared" si="0"/>
        <v/>
      </c>
      <c r="L15" s="135"/>
      <c r="M15" s="137"/>
      <c r="N15" s="133"/>
      <c r="O15" s="95" t="str">
        <f>IF(N14="","","Relais")</f>
        <v>Relais</v>
      </c>
      <c r="P15" s="96" t="str">
        <f>IF(N14="","",VLOOKUP(N14,$A:$E,4))</f>
        <v>112.12</v>
      </c>
      <c r="Q15" s="96" t="str">
        <f>IF(N14="","",IF(RIGHT(P15,1)="1","V","N"))</f>
        <v>N</v>
      </c>
      <c r="R15" s="97" t="str">
        <f>IF(N14&lt;&gt;"","x","")</f>
        <v>x</v>
      </c>
      <c r="S15" s="100" t="str">
        <f>IF(R15="x",S13,"")</f>
        <v>IC AN</v>
      </c>
      <c r="T15" s="99">
        <f>IF(R15="x",T13+1,"")</f>
        <v>8</v>
      </c>
      <c r="U15" s="100" t="str">
        <f>IF(R15="x","IC AB","")</f>
        <v>IC AB</v>
      </c>
      <c r="V15" s="97">
        <f>IF(R15="x",V13+1,"")</f>
        <v>7</v>
      </c>
      <c r="W15" s="97"/>
      <c r="X15" s="97"/>
      <c r="Y15" s="97"/>
      <c r="Z15" s="99"/>
      <c r="AA15" s="97"/>
      <c r="AB15" s="98"/>
    </row>
    <row r="16" spans="1:28" x14ac:dyDescent="0.25">
      <c r="A16" s="52"/>
      <c r="B16" s="55"/>
      <c r="C16" s="55" t="str">
        <f>IF($B16="","",VLOOKUP($B16,Haltestellen!$A:$C,2))</f>
        <v/>
      </c>
      <c r="D16" s="55"/>
      <c r="E16" s="55" t="str">
        <f>IF($D16="","",VLOOKUP($D16,Haltestellen!$A:$C,2))</f>
        <v/>
      </c>
      <c r="F16" s="52"/>
      <c r="G16" s="55"/>
      <c r="H16" s="52"/>
      <c r="I16" s="52"/>
      <c r="J16" s="57" t="str">
        <f t="shared" si="0"/>
        <v/>
      </c>
      <c r="L16" s="134" t="str">
        <f>IF(N16&lt;&gt;"","IC ABF8","")</f>
        <v>IC ABF8</v>
      </c>
      <c r="M16" s="136" t="str">
        <f>IF(N16&lt;&gt;"","Route","")</f>
        <v>Route</v>
      </c>
      <c r="N16" s="132">
        <v>10</v>
      </c>
      <c r="O16" s="92" t="str">
        <f>IF(N16="","","Relais")</f>
        <v>Relais</v>
      </c>
      <c r="P16" s="93" t="str">
        <f>IF(N16="","",VLOOKUP(N16,$A:$E,2))</f>
        <v>112.12</v>
      </c>
      <c r="Q16" s="93" t="str">
        <f>IF(N16="","",IF(RIGHT(P16,1)="1","V","N"))</f>
        <v>N</v>
      </c>
      <c r="R16" s="94"/>
      <c r="S16" s="101"/>
      <c r="T16" s="94"/>
      <c r="U16" s="94"/>
      <c r="V16" s="94"/>
      <c r="W16" s="94"/>
      <c r="X16" s="94" t="str">
        <f>IF(N16&lt;&gt;"","x","")</f>
        <v>x</v>
      </c>
      <c r="Y16" s="101" t="str">
        <f>IF(X16="x","IC AB","")</f>
        <v>IC AB</v>
      </c>
      <c r="Z16" s="103">
        <f>IF(X16="x",Z14+1,"")</f>
        <v>8</v>
      </c>
      <c r="AA16" s="101" t="str">
        <f>IF(X16="x","IC AN","")</f>
        <v>IC AN</v>
      </c>
      <c r="AB16" s="104">
        <f>IF(X16="x",AB14+1,"")</f>
        <v>8</v>
      </c>
    </row>
    <row r="17" spans="1:28" x14ac:dyDescent="0.25">
      <c r="A17" s="52"/>
      <c r="B17" s="55"/>
      <c r="C17" s="55" t="str">
        <f>IF($B17="","",VLOOKUP($B17,Haltestellen!$A:$C,2))</f>
        <v/>
      </c>
      <c r="D17" s="55"/>
      <c r="E17" s="55" t="str">
        <f>IF($D17="","",VLOOKUP($D17,Haltestellen!$A:$C,2))</f>
        <v/>
      </c>
      <c r="F17" s="52"/>
      <c r="G17" s="55"/>
      <c r="H17" s="52"/>
      <c r="I17" s="52"/>
      <c r="J17" s="57" t="str">
        <f t="shared" si="0"/>
        <v/>
      </c>
      <c r="L17" s="135"/>
      <c r="M17" s="137"/>
      <c r="N17" s="133"/>
      <c r="O17" s="95" t="str">
        <f>IF(N16="","","Relais")</f>
        <v>Relais</v>
      </c>
      <c r="P17" s="96" t="str">
        <f>IF(N16="","",VLOOKUP(N16,$A:$E,4))</f>
        <v>315.11</v>
      </c>
      <c r="Q17" s="96" t="str">
        <f>IF(N16="","",IF(RIGHT(P17,1)="1","V","N"))</f>
        <v>V</v>
      </c>
      <c r="R17" s="97" t="str">
        <f>IF(N16&lt;&gt;"","x","")</f>
        <v>x</v>
      </c>
      <c r="S17" s="100" t="str">
        <f>IF(R17="x",S15,"")</f>
        <v>IC AN</v>
      </c>
      <c r="T17" s="99">
        <f>IF(R17="x",T15+1,"")</f>
        <v>9</v>
      </c>
      <c r="U17" s="100" t="str">
        <f>IF(R17="x","IC AB","")</f>
        <v>IC AB</v>
      </c>
      <c r="V17" s="97">
        <f>IF(R17="x",V15+1,"")</f>
        <v>8</v>
      </c>
      <c r="W17" s="97"/>
      <c r="X17" s="97"/>
      <c r="Y17" s="97"/>
      <c r="Z17" s="99"/>
      <c r="AA17" s="97"/>
      <c r="AB17" s="98"/>
    </row>
    <row r="18" spans="1:28" x14ac:dyDescent="0.25">
      <c r="A18" s="52"/>
      <c r="B18" s="55"/>
      <c r="C18" s="55" t="str">
        <f>IF($B18="","",VLOOKUP($B18,Haltestellen!$A:$C,2))</f>
        <v/>
      </c>
      <c r="D18" s="55"/>
      <c r="E18" s="55" t="str">
        <f>IF($D18="","",VLOOKUP($D18,Haltestellen!$A:$C,2))</f>
        <v/>
      </c>
      <c r="F18" s="52"/>
      <c r="G18" s="55"/>
      <c r="H18" s="52"/>
      <c r="I18" s="52"/>
      <c r="J18" s="57" t="str">
        <f t="shared" si="0"/>
        <v/>
      </c>
      <c r="L18" s="134" t="str">
        <f>IF(N18&lt;&gt;"","IC ABF9","")</f>
        <v>IC ABF9</v>
      </c>
      <c r="M18" s="136" t="str">
        <f>IF(N18&lt;&gt;"","Route","")</f>
        <v>Route</v>
      </c>
      <c r="N18" s="129">
        <v>9</v>
      </c>
      <c r="O18" s="92" t="str">
        <f>IF(N18="","","Relais")</f>
        <v>Relais</v>
      </c>
      <c r="P18" s="93" t="str">
        <f>IF(N18="","",VLOOKUP(N18,$A:$E,2))</f>
        <v>315.11</v>
      </c>
      <c r="Q18" s="93" t="str">
        <f>IF(N18="","",IF(RIGHT(P18,1)="1","V","N"))</f>
        <v>V</v>
      </c>
      <c r="R18" s="94"/>
      <c r="S18" s="101"/>
      <c r="T18" s="94"/>
      <c r="U18" s="94"/>
      <c r="V18" s="94"/>
      <c r="W18" s="94"/>
      <c r="X18" s="94" t="str">
        <f>IF(N18&lt;&gt;"","x","")</f>
        <v>x</v>
      </c>
      <c r="Y18" s="101" t="str">
        <f>IF(X18="x","IC AB","")</f>
        <v>IC AB</v>
      </c>
      <c r="Z18" s="103">
        <f>IF(X18="x",Z16+1,"")</f>
        <v>9</v>
      </c>
      <c r="AA18" s="101" t="str">
        <f>IF(X18="x","IC AN","")</f>
        <v>IC AN</v>
      </c>
      <c r="AB18" s="104">
        <f>IF(X18="x",AB16+1,"")</f>
        <v>9</v>
      </c>
    </row>
    <row r="19" spans="1:28" x14ac:dyDescent="0.25">
      <c r="A19" s="52"/>
      <c r="B19" s="55"/>
      <c r="C19" s="55" t="str">
        <f>IF($B19="","",VLOOKUP($B19,Haltestellen!$A:$C,2))</f>
        <v/>
      </c>
      <c r="D19" s="55"/>
      <c r="E19" s="55" t="str">
        <f>IF($D19="","",VLOOKUP($D19,Haltestellen!$A:$C,2))</f>
        <v/>
      </c>
      <c r="F19" s="52"/>
      <c r="G19" s="55"/>
      <c r="H19" s="52"/>
      <c r="I19" s="52"/>
      <c r="J19" s="57" t="str">
        <f t="shared" si="0"/>
        <v/>
      </c>
      <c r="L19" s="135"/>
      <c r="M19" s="137"/>
      <c r="N19" s="130"/>
      <c r="O19" s="95" t="str">
        <f>IF(N18="","","Relais")</f>
        <v>Relais</v>
      </c>
      <c r="P19" s="96" t="str">
        <f>IF(N18="","",VLOOKUP(N18,$A:$E,4))</f>
        <v>418.11</v>
      </c>
      <c r="Q19" s="96" t="str">
        <f>IF(N18="","",IF(RIGHT(P19,1)="1","V","N"))</f>
        <v>V</v>
      </c>
      <c r="R19" s="97" t="str">
        <f>IF(N18&lt;&gt;"","x","")</f>
        <v>x</v>
      </c>
      <c r="S19" s="100" t="str">
        <f>IF(R19="x",S17,"")</f>
        <v>IC AN</v>
      </c>
      <c r="T19" s="99">
        <f>IF(R19="x",1,"")</f>
        <v>1</v>
      </c>
      <c r="U19" s="100" t="str">
        <f>IF(R19="x","IC AB","")</f>
        <v>IC AB</v>
      </c>
      <c r="V19" s="97">
        <f>IF(R19="x",V17+1,"")</f>
        <v>9</v>
      </c>
      <c r="W19" s="97"/>
      <c r="X19" s="97"/>
      <c r="Y19" s="97"/>
      <c r="Z19" s="99"/>
      <c r="AA19" s="97"/>
      <c r="AB19" s="98"/>
    </row>
    <row r="20" spans="1:28" x14ac:dyDescent="0.25">
      <c r="A20" s="52"/>
      <c r="B20" s="55"/>
      <c r="C20" s="55" t="str">
        <f>IF($B20="","",VLOOKUP($B20,Haltestellen!$A:$C,2))</f>
        <v/>
      </c>
      <c r="D20" s="55"/>
      <c r="E20" s="55" t="str">
        <f>IF($D20="","",VLOOKUP($D20,Haltestellen!$A:$C,2))</f>
        <v/>
      </c>
      <c r="F20" s="52"/>
      <c r="G20" s="55"/>
      <c r="H20" s="52"/>
      <c r="I20" s="52"/>
      <c r="J20" s="57" t="str">
        <f t="shared" si="0"/>
        <v/>
      </c>
      <c r="L20" s="134" t="str">
        <f>IF(N20&lt;&gt;"","IC ABF10","")</f>
        <v/>
      </c>
      <c r="M20" s="136" t="str">
        <f>IF(N20&lt;&gt;"","Route","")</f>
        <v/>
      </c>
      <c r="N20" s="129"/>
      <c r="O20" s="92" t="str">
        <f>IF(N20="","","Relais")</f>
        <v/>
      </c>
      <c r="P20" s="93" t="str">
        <f>IF(N20="","",VLOOKUP(N20,$A:$E,2))</f>
        <v/>
      </c>
      <c r="Q20" s="93" t="str">
        <f>IF(N20="","",IF(RIGHT(P20,1)="1","V","N"))</f>
        <v/>
      </c>
      <c r="R20" s="94"/>
      <c r="S20" s="101"/>
      <c r="T20" s="94"/>
      <c r="U20" s="94"/>
      <c r="V20" s="94"/>
      <c r="W20" s="94"/>
      <c r="X20" s="94" t="str">
        <f>IF(N20&lt;&gt;"","x","")</f>
        <v/>
      </c>
      <c r="Y20" s="101" t="str">
        <f>IF(X20="x","IC AB","")</f>
        <v/>
      </c>
      <c r="Z20" s="103" t="str">
        <f>IF(X20="x",Z18+1,"")</f>
        <v/>
      </c>
      <c r="AA20" s="101" t="str">
        <f>IF(X20="x","IC AN","")</f>
        <v/>
      </c>
      <c r="AB20" s="104" t="str">
        <f>IF(X20="x",AB18+1,"")</f>
        <v/>
      </c>
    </row>
    <row r="21" spans="1:28" x14ac:dyDescent="0.25">
      <c r="A21" s="52"/>
      <c r="B21" s="55"/>
      <c r="C21" s="55"/>
      <c r="D21" s="55"/>
      <c r="E21" s="55"/>
      <c r="F21" s="52"/>
      <c r="G21" s="55"/>
      <c r="H21" s="52"/>
      <c r="I21" s="52"/>
      <c r="J21" s="57" t="str">
        <f t="shared" si="0"/>
        <v/>
      </c>
      <c r="L21" s="135"/>
      <c r="M21" s="137"/>
      <c r="N21" s="130"/>
      <c r="O21" s="95" t="str">
        <f>IF(N20="","","Relais")</f>
        <v/>
      </c>
      <c r="P21" s="96" t="str">
        <f>IF(N20="","",VLOOKUP(N20,$A:$E,4))</f>
        <v/>
      </c>
      <c r="Q21" s="96" t="str">
        <f>IF(N20="","",IF(RIGHT(P21,1)="1","V","N"))</f>
        <v/>
      </c>
      <c r="R21" s="97" t="str">
        <f>IF(N20&lt;&gt;"","x","")</f>
        <v/>
      </c>
      <c r="S21" s="100" t="str">
        <f>IF(R21="x",S19,"")</f>
        <v/>
      </c>
      <c r="T21" s="99" t="str">
        <f>IF(R21="x",T19+1,"")</f>
        <v/>
      </c>
      <c r="U21" s="100" t="str">
        <f>IF(R21="x","IC AB","")</f>
        <v/>
      </c>
      <c r="V21" s="97" t="str">
        <f>IF(R21="x",V19+1,"")</f>
        <v/>
      </c>
      <c r="W21" s="97"/>
      <c r="X21" s="97"/>
      <c r="Y21" s="97"/>
      <c r="Z21" s="99"/>
      <c r="AA21" s="97"/>
      <c r="AB21" s="98"/>
    </row>
    <row r="22" spans="1:28" x14ac:dyDescent="0.25">
      <c r="A22" s="52"/>
      <c r="B22" s="55"/>
      <c r="C22" s="55"/>
      <c r="D22" s="55"/>
      <c r="E22" s="55"/>
      <c r="F22" s="52"/>
      <c r="G22" s="55"/>
      <c r="H22" s="52"/>
      <c r="I22" s="52"/>
      <c r="J22" s="57" t="str">
        <f t="shared" si="0"/>
        <v/>
      </c>
      <c r="L22" s="134" t="str">
        <f>IF(N22&lt;&gt;"","IC ABF11","")</f>
        <v/>
      </c>
      <c r="M22" s="136" t="str">
        <f>IF(N22&lt;&gt;"","Route","")</f>
        <v/>
      </c>
      <c r="N22" s="129"/>
      <c r="O22" s="92" t="str">
        <f>IF(N22="","","Relais")</f>
        <v/>
      </c>
      <c r="P22" s="93" t="str">
        <f>IF(N22="","",VLOOKUP(N22,$A:$E,2))</f>
        <v/>
      </c>
      <c r="Q22" s="93" t="str">
        <f>IF(N22="","",IF(RIGHT(P22,1)="1","V","N"))</f>
        <v/>
      </c>
      <c r="R22" s="94"/>
      <c r="S22" s="101"/>
      <c r="T22" s="94"/>
      <c r="U22" s="94"/>
      <c r="V22" s="94"/>
      <c r="W22" s="94"/>
      <c r="X22" s="94" t="str">
        <f>IF(N22&lt;&gt;"","x","")</f>
        <v/>
      </c>
      <c r="Y22" s="101" t="str">
        <f>IF(X22="x","IC AB","")</f>
        <v/>
      </c>
      <c r="Z22" s="103" t="str">
        <f>IF(X22="x",Z20+1,"")</f>
        <v/>
      </c>
      <c r="AA22" s="101" t="str">
        <f>IF(X22="x","IC AN","")</f>
        <v/>
      </c>
      <c r="AB22" s="104" t="str">
        <f>IF(X22="x",AB20+1,"")</f>
        <v/>
      </c>
    </row>
    <row r="23" spans="1:28" x14ac:dyDescent="0.25">
      <c r="A23" s="52"/>
      <c r="B23" s="55"/>
      <c r="C23" s="55"/>
      <c r="D23" s="55"/>
      <c r="E23" s="55"/>
      <c r="F23" s="52"/>
      <c r="G23" s="55"/>
      <c r="H23" s="52"/>
      <c r="I23" s="52"/>
      <c r="J23" s="57" t="str">
        <f t="shared" si="0"/>
        <v/>
      </c>
      <c r="L23" s="135"/>
      <c r="M23" s="137"/>
      <c r="N23" s="130"/>
      <c r="O23" s="95" t="str">
        <f>IF(N22="","","Relais")</f>
        <v/>
      </c>
      <c r="P23" s="96" t="str">
        <f>IF(N22="","",VLOOKUP(N22,$A:$E,4))</f>
        <v/>
      </c>
      <c r="Q23" s="96" t="str">
        <f>IF(N22="","",IF(RIGHT(P23,1)="1","V","N"))</f>
        <v/>
      </c>
      <c r="R23" s="97" t="str">
        <f>IF(N22&lt;&gt;"","x","")</f>
        <v/>
      </c>
      <c r="S23" s="100" t="str">
        <f>IF(R23="x",S21,"")</f>
        <v/>
      </c>
      <c r="T23" s="99" t="str">
        <f>IF(R23="x",T21+1-11,"")</f>
        <v/>
      </c>
      <c r="U23" s="100" t="str">
        <f>IF(R23="x","IC AB","")</f>
        <v/>
      </c>
      <c r="V23" s="97" t="str">
        <f>IF(R23="x",V21+1,"")</f>
        <v/>
      </c>
      <c r="W23" s="97"/>
      <c r="X23" s="97"/>
      <c r="Y23" s="97"/>
      <c r="Z23" s="99"/>
      <c r="AA23" s="97"/>
      <c r="AB23" s="98"/>
    </row>
    <row r="24" spans="1:28" x14ac:dyDescent="0.25">
      <c r="A24" s="52"/>
      <c r="B24" s="55"/>
      <c r="C24" s="55"/>
      <c r="D24" s="55"/>
      <c r="E24" s="55"/>
      <c r="F24" s="52"/>
      <c r="G24" s="55"/>
      <c r="H24" s="52"/>
      <c r="I24" s="52"/>
      <c r="J24" s="57" t="str">
        <f t="shared" si="0"/>
        <v/>
      </c>
      <c r="P24" s="125"/>
    </row>
    <row r="25" spans="1:28" x14ac:dyDescent="0.25">
      <c r="A25" s="52"/>
      <c r="B25" s="55"/>
      <c r="C25" s="55"/>
      <c r="D25" s="55"/>
      <c r="E25" s="55"/>
      <c r="F25" s="52"/>
      <c r="G25" s="55"/>
      <c r="H25" s="52"/>
      <c r="I25" s="52"/>
      <c r="J25" s="57" t="str">
        <f t="shared" si="0"/>
        <v/>
      </c>
    </row>
    <row r="26" spans="1:28" x14ac:dyDescent="0.25">
      <c r="A26" s="52"/>
      <c r="B26" s="55"/>
      <c r="C26" s="55"/>
      <c r="D26" s="55"/>
      <c r="E26" s="55"/>
      <c r="F26" s="52"/>
      <c r="G26" s="55"/>
      <c r="H26" s="52"/>
      <c r="I26" s="52"/>
      <c r="J26" s="57" t="str">
        <f t="shared" si="0"/>
        <v/>
      </c>
    </row>
    <row r="27" spans="1:28" x14ac:dyDescent="0.25">
      <c r="A27" s="52"/>
      <c r="B27" s="55"/>
      <c r="C27" s="55"/>
      <c r="D27" s="55"/>
      <c r="E27" s="55"/>
      <c r="F27" s="52"/>
      <c r="G27" s="55"/>
      <c r="H27" s="52"/>
      <c r="I27" s="52"/>
      <c r="J27" s="57" t="str">
        <f t="shared" si="0"/>
        <v/>
      </c>
    </row>
    <row r="28" spans="1:28" x14ac:dyDescent="0.25">
      <c r="A28" s="52"/>
      <c r="B28" s="55"/>
      <c r="C28" s="55"/>
      <c r="D28" s="55"/>
      <c r="E28" s="55"/>
      <c r="F28" s="52"/>
      <c r="G28" s="55"/>
      <c r="H28" s="52"/>
      <c r="I28" s="52"/>
      <c r="J28" s="57" t="str">
        <f t="shared" si="0"/>
        <v/>
      </c>
    </row>
    <row r="29" spans="1:28" x14ac:dyDescent="0.25">
      <c r="A29" s="52"/>
      <c r="B29" s="55"/>
      <c r="C29" s="55"/>
      <c r="D29" s="55"/>
      <c r="E29" s="55"/>
      <c r="F29" s="52"/>
      <c r="G29" s="55"/>
      <c r="H29" s="52"/>
      <c r="I29" s="52"/>
      <c r="J29" s="57" t="str">
        <f t="shared" si="0"/>
        <v/>
      </c>
    </row>
    <row r="30" spans="1:28" x14ac:dyDescent="0.25">
      <c r="A30" s="52"/>
      <c r="B30" s="55"/>
      <c r="C30" s="55"/>
      <c r="D30" s="55"/>
      <c r="E30" s="55"/>
      <c r="F30" s="52"/>
      <c r="G30" s="55"/>
      <c r="H30" s="52"/>
      <c r="I30" s="52"/>
      <c r="J30" s="57" t="str">
        <f t="shared" si="0"/>
        <v/>
      </c>
    </row>
    <row r="31" spans="1:28" x14ac:dyDescent="0.25">
      <c r="A31" s="52"/>
      <c r="B31" s="55"/>
      <c r="C31" s="55"/>
      <c r="D31" s="55"/>
      <c r="E31" s="55"/>
      <c r="F31" s="52"/>
      <c r="G31" s="55"/>
      <c r="H31" s="52"/>
      <c r="I31" s="52"/>
      <c r="J31" s="57" t="str">
        <f t="shared" si="0"/>
        <v/>
      </c>
    </row>
    <row r="32" spans="1:28" x14ac:dyDescent="0.25">
      <c r="A32" s="52"/>
      <c r="B32" s="55"/>
      <c r="C32" s="55"/>
      <c r="D32" s="55"/>
      <c r="E32" s="55"/>
      <c r="F32" s="52"/>
      <c r="G32" s="55"/>
      <c r="H32" s="52"/>
      <c r="I32" s="52"/>
      <c r="J32" s="57" t="str">
        <f t="shared" si="0"/>
        <v/>
      </c>
    </row>
    <row r="33" spans="1:10" x14ac:dyDescent="0.25">
      <c r="A33" s="52"/>
      <c r="B33" s="55"/>
      <c r="C33" s="55"/>
      <c r="D33" s="55"/>
      <c r="E33" s="55"/>
      <c r="F33" s="52"/>
      <c r="G33" s="55"/>
      <c r="H33" s="52"/>
      <c r="I33" s="52"/>
      <c r="J33" s="57" t="str">
        <f t="shared" si="0"/>
        <v/>
      </c>
    </row>
    <row r="34" spans="1:10" x14ac:dyDescent="0.25">
      <c r="A34" s="52"/>
      <c r="B34" s="55"/>
      <c r="C34" s="55"/>
      <c r="D34" s="55"/>
      <c r="E34" s="55"/>
      <c r="F34" s="52"/>
      <c r="G34" s="55"/>
      <c r="H34" s="52"/>
      <c r="I34" s="52"/>
      <c r="J34" s="57" t="str">
        <f t="shared" si="0"/>
        <v/>
      </c>
    </row>
    <row r="35" spans="1:10" x14ac:dyDescent="0.25">
      <c r="A35" s="52"/>
      <c r="B35" s="55"/>
      <c r="C35" s="55"/>
      <c r="D35" s="55"/>
      <c r="E35" s="55"/>
      <c r="F35" s="52"/>
      <c r="G35" s="55"/>
      <c r="H35" s="52"/>
      <c r="I35" s="52"/>
      <c r="J35" s="57" t="str">
        <f t="shared" si="0"/>
        <v/>
      </c>
    </row>
    <row r="36" spans="1:10" x14ac:dyDescent="0.25">
      <c r="A36" s="52"/>
      <c r="B36" s="55"/>
      <c r="C36" s="55"/>
      <c r="D36" s="55"/>
      <c r="E36" s="55"/>
      <c r="F36" s="52"/>
      <c r="G36" s="55"/>
      <c r="H36" s="52"/>
      <c r="I36" s="52"/>
      <c r="J36" s="57" t="str">
        <f t="shared" si="0"/>
        <v/>
      </c>
    </row>
    <row r="37" spans="1:10" x14ac:dyDescent="0.25">
      <c r="A37" s="52"/>
      <c r="B37" s="55"/>
      <c r="C37" s="55"/>
      <c r="D37" s="55"/>
      <c r="E37" s="55"/>
      <c r="F37" s="52"/>
      <c r="G37" s="55"/>
      <c r="H37" s="52"/>
      <c r="I37" s="52"/>
      <c r="J37" s="57" t="str">
        <f t="shared" si="0"/>
        <v/>
      </c>
    </row>
    <row r="38" spans="1:10" x14ac:dyDescent="0.25">
      <c r="A38" s="52"/>
      <c r="B38" s="55"/>
      <c r="C38" s="55"/>
      <c r="D38" s="55"/>
      <c r="E38" s="55"/>
      <c r="F38" s="52"/>
      <c r="G38" s="55"/>
      <c r="H38" s="52"/>
      <c r="I38" s="52"/>
      <c r="J38" s="57" t="str">
        <f t="shared" si="0"/>
        <v/>
      </c>
    </row>
    <row r="39" spans="1:10" x14ac:dyDescent="0.25">
      <c r="J39" s="57" t="str">
        <f t="shared" si="0"/>
        <v/>
      </c>
    </row>
    <row r="40" spans="1:10" x14ac:dyDescent="0.25">
      <c r="J40" s="57" t="str">
        <f t="shared" si="0"/>
        <v/>
      </c>
    </row>
    <row r="45" spans="1:10" x14ac:dyDescent="0.25">
      <c r="B45" s="59" t="e">
        <f>MAX(#REF!)</f>
        <v>#REF!</v>
      </c>
    </row>
    <row r="46" spans="1:10" x14ac:dyDescent="0.25">
      <c r="B46" s="59" t="e">
        <f>MIN(#REF!)</f>
        <v>#REF!</v>
      </c>
    </row>
    <row r="47" spans="1:10" x14ac:dyDescent="0.25">
      <c r="B47" s="59" t="e">
        <f>MEDIAN(#REF!)</f>
        <v>#REF!</v>
      </c>
    </row>
  </sheetData>
  <autoFilter ref="B1:E47" xr:uid="{D4DC7ACD-2537-4F70-9140-749F8DEADD91}"/>
  <mergeCells count="39">
    <mergeCell ref="L22:L23"/>
    <mergeCell ref="M22:M23"/>
    <mergeCell ref="N22:N23"/>
    <mergeCell ref="M12:M13"/>
    <mergeCell ref="L2:L3"/>
    <mergeCell ref="M2:M3"/>
    <mergeCell ref="L4:L5"/>
    <mergeCell ref="M4:M5"/>
    <mergeCell ref="L6:L7"/>
    <mergeCell ref="M6:M7"/>
    <mergeCell ref="L20:L21"/>
    <mergeCell ref="M20:M21"/>
    <mergeCell ref="L14:L15"/>
    <mergeCell ref="M14:M15"/>
    <mergeCell ref="L16:L17"/>
    <mergeCell ref="M16:M17"/>
    <mergeCell ref="AA1:AB1"/>
    <mergeCell ref="M1:N1"/>
    <mergeCell ref="N2:N3"/>
    <mergeCell ref="N4:N5"/>
    <mergeCell ref="N6:N7"/>
    <mergeCell ref="S1:T1"/>
    <mergeCell ref="U1:V1"/>
    <mergeCell ref="Y1:Z1"/>
    <mergeCell ref="L18:L19"/>
    <mergeCell ref="M18:M19"/>
    <mergeCell ref="L8:L9"/>
    <mergeCell ref="M8:M9"/>
    <mergeCell ref="L10:L11"/>
    <mergeCell ref="M10:M11"/>
    <mergeCell ref="L12:L13"/>
    <mergeCell ref="N20:N21"/>
    <mergeCell ref="P1:Q1"/>
    <mergeCell ref="N8:N9"/>
    <mergeCell ref="N10:N11"/>
    <mergeCell ref="N12:N13"/>
    <mergeCell ref="N14:N15"/>
    <mergeCell ref="N16:N17"/>
    <mergeCell ref="N18:N19"/>
  </mergeCells>
  <conditionalFormatting sqref="Y2:Z3 Y24:Z1048576 Y1">
    <cfRule type="cellIs" dxfId="617" priority="171" operator="notEqual">
      <formula>""</formula>
    </cfRule>
  </conditionalFormatting>
  <conditionalFormatting sqref="U2:V3 U24:V1048576 U1">
    <cfRule type="cellIs" dxfId="616" priority="170" operator="notEqual">
      <formula>""</formula>
    </cfRule>
  </conditionalFormatting>
  <conditionalFormatting sqref="S2:T3 S24:T1048576 S1">
    <cfRule type="cellIs" dxfId="615" priority="169" operator="notEqual">
      <formula>""</formula>
    </cfRule>
  </conditionalFormatting>
  <conditionalFormatting sqref="X2">
    <cfRule type="cellIs" dxfId="614" priority="166" operator="equal">
      <formula>"x"</formula>
    </cfRule>
  </conditionalFormatting>
  <conditionalFormatting sqref="X1:X3 X24:X1048576">
    <cfRule type="cellIs" dxfId="613" priority="165" operator="equal">
      <formula>"x"</formula>
    </cfRule>
  </conditionalFormatting>
  <conditionalFormatting sqref="AA2:AB3 AA24:AB1048576 AA1">
    <cfRule type="cellIs" dxfId="612" priority="164" operator="notEqual">
      <formula>""</formula>
    </cfRule>
  </conditionalFormatting>
  <conditionalFormatting sqref="X20:X23">
    <cfRule type="cellIs" dxfId="611" priority="82" operator="equal">
      <formula>"x"</formula>
    </cfRule>
  </conditionalFormatting>
  <conditionalFormatting sqref="AA21:AB21 AA23:AB23">
    <cfRule type="cellIs" dxfId="610" priority="81" operator="notEqual">
      <formula>""</formula>
    </cfRule>
  </conditionalFormatting>
  <conditionalFormatting sqref="R1:R3 R24:R1048576">
    <cfRule type="cellIs" dxfId="609" priority="161" operator="equal">
      <formula>"x"</formula>
    </cfRule>
  </conditionalFormatting>
  <conditionalFormatting sqref="Y5:Z5 Z4">
    <cfRule type="cellIs" dxfId="608" priority="160" operator="notEqual">
      <formula>""</formula>
    </cfRule>
  </conditionalFormatting>
  <conditionalFormatting sqref="U4:V4 V5">
    <cfRule type="cellIs" dxfId="607" priority="159" operator="notEqual">
      <formula>""</formula>
    </cfRule>
  </conditionalFormatting>
  <conditionalFormatting sqref="S4:T4 S5">
    <cfRule type="cellIs" dxfId="606" priority="158" operator="notEqual">
      <formula>""</formula>
    </cfRule>
  </conditionalFormatting>
  <conditionalFormatting sqref="X4">
    <cfRule type="cellIs" dxfId="605" priority="155" operator="equal">
      <formula>"x"</formula>
    </cfRule>
  </conditionalFormatting>
  <conditionalFormatting sqref="X4:X5">
    <cfRule type="cellIs" dxfId="604" priority="154" operator="equal">
      <formula>"x"</formula>
    </cfRule>
  </conditionalFormatting>
  <conditionalFormatting sqref="AA5:AB5 AB4">
    <cfRule type="cellIs" dxfId="603" priority="153" operator="notEqual">
      <formula>""</formula>
    </cfRule>
  </conditionalFormatting>
  <conditionalFormatting sqref="R4:R5">
    <cfRule type="cellIs" dxfId="602" priority="152" operator="equal">
      <formula>"x"</formula>
    </cfRule>
  </conditionalFormatting>
  <conditionalFormatting sqref="Y7:Z7">
    <cfRule type="cellIs" dxfId="601" priority="151" operator="notEqual">
      <formula>""</formula>
    </cfRule>
  </conditionalFormatting>
  <conditionalFormatting sqref="U6:V6">
    <cfRule type="cellIs" dxfId="600" priority="150" operator="notEqual">
      <formula>""</formula>
    </cfRule>
  </conditionalFormatting>
  <conditionalFormatting sqref="S6:T6">
    <cfRule type="cellIs" dxfId="599" priority="149" operator="notEqual">
      <formula>""</formula>
    </cfRule>
  </conditionalFormatting>
  <conditionalFormatting sqref="X6">
    <cfRule type="cellIs" dxfId="598" priority="146" operator="equal">
      <formula>"x"</formula>
    </cfRule>
  </conditionalFormatting>
  <conditionalFormatting sqref="X6:X7">
    <cfRule type="cellIs" dxfId="597" priority="145" operator="equal">
      <formula>"x"</formula>
    </cfRule>
  </conditionalFormatting>
  <conditionalFormatting sqref="AA7:AB7">
    <cfRule type="cellIs" dxfId="596" priority="144" operator="notEqual">
      <formula>""</formula>
    </cfRule>
  </conditionalFormatting>
  <conditionalFormatting sqref="R6:R7">
    <cfRule type="cellIs" dxfId="595" priority="143" operator="equal">
      <formula>"x"</formula>
    </cfRule>
  </conditionalFormatting>
  <conditionalFormatting sqref="Y9:Z9">
    <cfRule type="cellIs" dxfId="594" priority="142" operator="notEqual">
      <formula>""</formula>
    </cfRule>
  </conditionalFormatting>
  <conditionalFormatting sqref="U8:V8">
    <cfRule type="cellIs" dxfId="593" priority="141" operator="notEqual">
      <formula>""</formula>
    </cfRule>
  </conditionalFormatting>
  <conditionalFormatting sqref="S8:T8">
    <cfRule type="cellIs" dxfId="592" priority="140" operator="notEqual">
      <formula>""</formula>
    </cfRule>
  </conditionalFormatting>
  <conditionalFormatting sqref="X8">
    <cfRule type="cellIs" dxfId="591" priority="137" operator="equal">
      <formula>"x"</formula>
    </cfRule>
  </conditionalFormatting>
  <conditionalFormatting sqref="X8:X9">
    <cfRule type="cellIs" dxfId="590" priority="136" operator="equal">
      <formula>"x"</formula>
    </cfRule>
  </conditionalFormatting>
  <conditionalFormatting sqref="AA9:AB9">
    <cfRule type="cellIs" dxfId="589" priority="135" operator="notEqual">
      <formula>""</formula>
    </cfRule>
  </conditionalFormatting>
  <conditionalFormatting sqref="R8:R9">
    <cfRule type="cellIs" dxfId="588" priority="134" operator="equal">
      <formula>"x"</formula>
    </cfRule>
  </conditionalFormatting>
  <conditionalFormatting sqref="Y11:Z11">
    <cfRule type="cellIs" dxfId="587" priority="133" operator="notEqual">
      <formula>""</formula>
    </cfRule>
  </conditionalFormatting>
  <conditionalFormatting sqref="U10:V10">
    <cfRule type="cellIs" dxfId="586" priority="132" operator="notEqual">
      <formula>""</formula>
    </cfRule>
  </conditionalFormatting>
  <conditionalFormatting sqref="S10:T10">
    <cfRule type="cellIs" dxfId="585" priority="131" operator="notEqual">
      <formula>""</formula>
    </cfRule>
  </conditionalFormatting>
  <conditionalFormatting sqref="X10">
    <cfRule type="cellIs" dxfId="584" priority="128" operator="equal">
      <formula>"x"</formula>
    </cfRule>
  </conditionalFormatting>
  <conditionalFormatting sqref="X10:X11">
    <cfRule type="cellIs" dxfId="583" priority="127" operator="equal">
      <formula>"x"</formula>
    </cfRule>
  </conditionalFormatting>
  <conditionalFormatting sqref="AA11:AB11">
    <cfRule type="cellIs" dxfId="582" priority="126" operator="notEqual">
      <formula>""</formula>
    </cfRule>
  </conditionalFormatting>
  <conditionalFormatting sqref="R10:R11">
    <cfRule type="cellIs" dxfId="581" priority="125" operator="equal">
      <formula>"x"</formula>
    </cfRule>
  </conditionalFormatting>
  <conditionalFormatting sqref="Y13:Z13">
    <cfRule type="cellIs" dxfId="580" priority="124" operator="notEqual">
      <formula>""</formula>
    </cfRule>
  </conditionalFormatting>
  <conditionalFormatting sqref="U12:V12">
    <cfRule type="cellIs" dxfId="579" priority="123" operator="notEqual">
      <formula>""</formula>
    </cfRule>
  </conditionalFormatting>
  <conditionalFormatting sqref="S12:T12">
    <cfRule type="cellIs" dxfId="578" priority="122" operator="notEqual">
      <formula>""</formula>
    </cfRule>
  </conditionalFormatting>
  <conditionalFormatting sqref="X12">
    <cfRule type="cellIs" dxfId="577" priority="119" operator="equal">
      <formula>"x"</formula>
    </cfRule>
  </conditionalFormatting>
  <conditionalFormatting sqref="X12:X13">
    <cfRule type="cellIs" dxfId="576" priority="118" operator="equal">
      <formula>"x"</formula>
    </cfRule>
  </conditionalFormatting>
  <conditionalFormatting sqref="AA13:AB13">
    <cfRule type="cellIs" dxfId="575" priority="117" operator="notEqual">
      <formula>""</formula>
    </cfRule>
  </conditionalFormatting>
  <conditionalFormatting sqref="R12:R13">
    <cfRule type="cellIs" dxfId="574" priority="116" operator="equal">
      <formula>"x"</formula>
    </cfRule>
  </conditionalFormatting>
  <conditionalFormatting sqref="Y15:Z15">
    <cfRule type="cellIs" dxfId="573" priority="115" operator="notEqual">
      <formula>""</formula>
    </cfRule>
  </conditionalFormatting>
  <conditionalFormatting sqref="U14:V14">
    <cfRule type="cellIs" dxfId="572" priority="114" operator="notEqual">
      <formula>""</formula>
    </cfRule>
  </conditionalFormatting>
  <conditionalFormatting sqref="S14:T14">
    <cfRule type="cellIs" dxfId="571" priority="113" operator="notEqual">
      <formula>""</formula>
    </cfRule>
  </conditionalFormatting>
  <conditionalFormatting sqref="X14">
    <cfRule type="cellIs" dxfId="570" priority="110" operator="equal">
      <formula>"x"</formula>
    </cfRule>
  </conditionalFormatting>
  <conditionalFormatting sqref="X14:X15">
    <cfRule type="cellIs" dxfId="569" priority="109" operator="equal">
      <formula>"x"</formula>
    </cfRule>
  </conditionalFormatting>
  <conditionalFormatting sqref="AA15:AB15">
    <cfRule type="cellIs" dxfId="568" priority="108" operator="notEqual">
      <formula>""</formula>
    </cfRule>
  </conditionalFormatting>
  <conditionalFormatting sqref="R14:R15">
    <cfRule type="cellIs" dxfId="567" priority="107" operator="equal">
      <formula>"x"</formula>
    </cfRule>
  </conditionalFormatting>
  <conditionalFormatting sqref="Y17:Z17">
    <cfRule type="cellIs" dxfId="566" priority="106" operator="notEqual">
      <formula>""</formula>
    </cfRule>
  </conditionalFormatting>
  <conditionalFormatting sqref="U16:V16">
    <cfRule type="cellIs" dxfId="565" priority="105" operator="notEqual">
      <formula>""</formula>
    </cfRule>
  </conditionalFormatting>
  <conditionalFormatting sqref="S16:T16">
    <cfRule type="cellIs" dxfId="564" priority="104" operator="notEqual">
      <formula>""</formula>
    </cfRule>
  </conditionalFormatting>
  <conditionalFormatting sqref="X16">
    <cfRule type="cellIs" dxfId="563" priority="101" operator="equal">
      <formula>"x"</formula>
    </cfRule>
  </conditionalFormatting>
  <conditionalFormatting sqref="X16:X17">
    <cfRule type="cellIs" dxfId="562" priority="100" operator="equal">
      <formula>"x"</formula>
    </cfRule>
  </conditionalFormatting>
  <conditionalFormatting sqref="AA17:AB17">
    <cfRule type="cellIs" dxfId="561" priority="99" operator="notEqual">
      <formula>""</formula>
    </cfRule>
  </conditionalFormatting>
  <conditionalFormatting sqref="R16:R17">
    <cfRule type="cellIs" dxfId="560" priority="98" operator="equal">
      <formula>"x"</formula>
    </cfRule>
  </conditionalFormatting>
  <conditionalFormatting sqref="Y19:Z19">
    <cfRule type="cellIs" dxfId="559" priority="97" operator="notEqual">
      <formula>""</formula>
    </cfRule>
  </conditionalFormatting>
  <conditionalFormatting sqref="U18:V18">
    <cfRule type="cellIs" dxfId="558" priority="96" operator="notEqual">
      <formula>""</formula>
    </cfRule>
  </conditionalFormatting>
  <conditionalFormatting sqref="S18:T18">
    <cfRule type="cellIs" dxfId="557" priority="95" operator="notEqual">
      <formula>""</formula>
    </cfRule>
  </conditionalFormatting>
  <conditionalFormatting sqref="X18">
    <cfRule type="cellIs" dxfId="556" priority="92" operator="equal">
      <formula>"x"</formula>
    </cfRule>
  </conditionalFormatting>
  <conditionalFormatting sqref="X18:X19">
    <cfRule type="cellIs" dxfId="555" priority="91" operator="equal">
      <formula>"x"</formula>
    </cfRule>
  </conditionalFormatting>
  <conditionalFormatting sqref="AA19:AB19">
    <cfRule type="cellIs" dxfId="554" priority="90" operator="notEqual">
      <formula>""</formula>
    </cfRule>
  </conditionalFormatting>
  <conditionalFormatting sqref="R18:R19">
    <cfRule type="cellIs" dxfId="553" priority="89" operator="equal">
      <formula>"x"</formula>
    </cfRule>
  </conditionalFormatting>
  <conditionalFormatting sqref="Y21:Z21 Y23:Z23">
    <cfRule type="cellIs" dxfId="552" priority="88" operator="notEqual">
      <formula>""</formula>
    </cfRule>
  </conditionalFormatting>
  <conditionalFormatting sqref="U20:V20 U22:V22">
    <cfRule type="cellIs" dxfId="551" priority="87" operator="notEqual">
      <formula>""</formula>
    </cfRule>
  </conditionalFormatting>
  <conditionalFormatting sqref="S20:T20 S22:T22">
    <cfRule type="cellIs" dxfId="550" priority="86" operator="notEqual">
      <formula>""</formula>
    </cfRule>
  </conditionalFormatting>
  <conditionalFormatting sqref="X20 X22">
    <cfRule type="cellIs" dxfId="549" priority="83" operator="equal">
      <formula>"x"</formula>
    </cfRule>
  </conditionalFormatting>
  <conditionalFormatting sqref="U19">
    <cfRule type="cellIs" dxfId="548" priority="47" operator="notEqual">
      <formula>""</formula>
    </cfRule>
  </conditionalFormatting>
  <conditionalFormatting sqref="R20:R23">
    <cfRule type="cellIs" dxfId="547" priority="80" operator="equal">
      <formula>"x"</formula>
    </cfRule>
  </conditionalFormatting>
  <conditionalFormatting sqref="T5">
    <cfRule type="cellIs" dxfId="546" priority="79" operator="notEqual">
      <formula>""</formula>
    </cfRule>
  </conditionalFormatting>
  <conditionalFormatting sqref="T7">
    <cfRule type="cellIs" dxfId="545" priority="78" operator="notEqual">
      <formula>""</formula>
    </cfRule>
  </conditionalFormatting>
  <conditionalFormatting sqref="T9">
    <cfRule type="cellIs" dxfId="544" priority="77" operator="notEqual">
      <formula>""</formula>
    </cfRule>
  </conditionalFormatting>
  <conditionalFormatting sqref="T11">
    <cfRule type="cellIs" dxfId="543" priority="76" operator="notEqual">
      <formula>""</formula>
    </cfRule>
  </conditionalFormatting>
  <conditionalFormatting sqref="T13">
    <cfRule type="cellIs" dxfId="542" priority="75" operator="notEqual">
      <formula>""</formula>
    </cfRule>
  </conditionalFormatting>
  <conditionalFormatting sqref="T15">
    <cfRule type="cellIs" dxfId="541" priority="74" operator="notEqual">
      <formula>""</formula>
    </cfRule>
  </conditionalFormatting>
  <conditionalFormatting sqref="T17">
    <cfRule type="cellIs" dxfId="540" priority="73" operator="notEqual">
      <formula>""</formula>
    </cfRule>
  </conditionalFormatting>
  <conditionalFormatting sqref="T19">
    <cfRule type="cellIs" dxfId="539" priority="72" operator="notEqual">
      <formula>""</formula>
    </cfRule>
  </conditionalFormatting>
  <conditionalFormatting sqref="T21 T23">
    <cfRule type="cellIs" dxfId="538" priority="71" operator="notEqual">
      <formula>""</formula>
    </cfRule>
  </conditionalFormatting>
  <conditionalFormatting sqref="S7">
    <cfRule type="cellIs" dxfId="537" priority="70" operator="notEqual">
      <formula>""</formula>
    </cfRule>
  </conditionalFormatting>
  <conditionalFormatting sqref="S9">
    <cfRule type="cellIs" dxfId="536" priority="69" operator="notEqual">
      <formula>""</formula>
    </cfRule>
  </conditionalFormatting>
  <conditionalFormatting sqref="S11">
    <cfRule type="cellIs" dxfId="535" priority="68" operator="notEqual">
      <formula>""</formula>
    </cfRule>
  </conditionalFormatting>
  <conditionalFormatting sqref="S13">
    <cfRule type="cellIs" dxfId="534" priority="67" operator="notEqual">
      <formula>""</formula>
    </cfRule>
  </conditionalFormatting>
  <conditionalFormatting sqref="S15">
    <cfRule type="cellIs" dxfId="533" priority="66" operator="notEqual">
      <formula>""</formula>
    </cfRule>
  </conditionalFormatting>
  <conditionalFormatting sqref="S17">
    <cfRule type="cellIs" dxfId="532" priority="65" operator="notEqual">
      <formula>""</formula>
    </cfRule>
  </conditionalFormatting>
  <conditionalFormatting sqref="S19">
    <cfRule type="cellIs" dxfId="531" priority="64" operator="notEqual">
      <formula>""</formula>
    </cfRule>
  </conditionalFormatting>
  <conditionalFormatting sqref="S21 S23">
    <cfRule type="cellIs" dxfId="530" priority="63" operator="notEqual">
      <formula>""</formula>
    </cfRule>
  </conditionalFormatting>
  <conditionalFormatting sqref="V7">
    <cfRule type="cellIs" dxfId="529" priority="62" operator="notEqual">
      <formula>""</formula>
    </cfRule>
  </conditionalFormatting>
  <conditionalFormatting sqref="V9">
    <cfRule type="cellIs" dxfId="528" priority="61" operator="notEqual">
      <formula>""</formula>
    </cfRule>
  </conditionalFormatting>
  <conditionalFormatting sqref="V11">
    <cfRule type="cellIs" dxfId="527" priority="60" operator="notEqual">
      <formula>""</formula>
    </cfRule>
  </conditionalFormatting>
  <conditionalFormatting sqref="V13">
    <cfRule type="cellIs" dxfId="526" priority="59" operator="notEqual">
      <formula>""</formula>
    </cfRule>
  </conditionalFormatting>
  <conditionalFormatting sqref="V15">
    <cfRule type="cellIs" dxfId="525" priority="58" operator="notEqual">
      <formula>""</formula>
    </cfRule>
  </conditionalFormatting>
  <conditionalFormatting sqref="V17">
    <cfRule type="cellIs" dxfId="524" priority="57" operator="notEqual">
      <formula>""</formula>
    </cfRule>
  </conditionalFormatting>
  <conditionalFormatting sqref="V19">
    <cfRule type="cellIs" dxfId="523" priority="56" operator="notEqual">
      <formula>""</formula>
    </cfRule>
  </conditionalFormatting>
  <conditionalFormatting sqref="V21 V23">
    <cfRule type="cellIs" dxfId="522" priority="55" operator="notEqual">
      <formula>""</formula>
    </cfRule>
  </conditionalFormatting>
  <conditionalFormatting sqref="U5">
    <cfRule type="cellIs" dxfId="521" priority="54" operator="notEqual">
      <formula>""</formula>
    </cfRule>
  </conditionalFormatting>
  <conditionalFormatting sqref="U7">
    <cfRule type="cellIs" dxfId="520" priority="53" operator="notEqual">
      <formula>""</formula>
    </cfRule>
  </conditionalFormatting>
  <conditionalFormatting sqref="U9">
    <cfRule type="cellIs" dxfId="519" priority="52" operator="notEqual">
      <formula>""</formula>
    </cfRule>
  </conditionalFormatting>
  <conditionalFormatting sqref="U11">
    <cfRule type="cellIs" dxfId="518" priority="51" operator="notEqual">
      <formula>""</formula>
    </cfRule>
  </conditionalFormatting>
  <conditionalFormatting sqref="U13">
    <cfRule type="cellIs" dxfId="517" priority="50" operator="notEqual">
      <formula>""</formula>
    </cfRule>
  </conditionalFormatting>
  <conditionalFormatting sqref="U15">
    <cfRule type="cellIs" dxfId="516" priority="49" operator="notEqual">
      <formula>""</formula>
    </cfRule>
  </conditionalFormatting>
  <conditionalFormatting sqref="U17">
    <cfRule type="cellIs" dxfId="515" priority="48" operator="notEqual">
      <formula>""</formula>
    </cfRule>
  </conditionalFormatting>
  <conditionalFormatting sqref="AA18">
    <cfRule type="cellIs" dxfId="514" priority="13" operator="notEqual">
      <formula>""</formula>
    </cfRule>
  </conditionalFormatting>
  <conditionalFormatting sqref="U21 U23">
    <cfRule type="cellIs" dxfId="513" priority="46" operator="notEqual">
      <formula>""</formula>
    </cfRule>
  </conditionalFormatting>
  <conditionalFormatting sqref="Z6">
    <cfRule type="cellIs" dxfId="512" priority="45" operator="notEqual">
      <formula>""</formula>
    </cfRule>
  </conditionalFormatting>
  <conditionalFormatting sqref="Z8">
    <cfRule type="cellIs" dxfId="511" priority="44" operator="notEqual">
      <formula>""</formula>
    </cfRule>
  </conditionalFormatting>
  <conditionalFormatting sqref="Z10">
    <cfRule type="cellIs" dxfId="510" priority="43" operator="notEqual">
      <formula>""</formula>
    </cfRule>
  </conditionalFormatting>
  <conditionalFormatting sqref="Z12">
    <cfRule type="cellIs" dxfId="509" priority="42" operator="notEqual">
      <formula>""</formula>
    </cfRule>
  </conditionalFormatting>
  <conditionalFormatting sqref="Z14">
    <cfRule type="cellIs" dxfId="508" priority="41" operator="notEqual">
      <formula>""</formula>
    </cfRule>
  </conditionalFormatting>
  <conditionalFormatting sqref="Z16">
    <cfRule type="cellIs" dxfId="507" priority="40" operator="notEqual">
      <formula>""</formula>
    </cfRule>
  </conditionalFormatting>
  <conditionalFormatting sqref="Z18">
    <cfRule type="cellIs" dxfId="506" priority="39" operator="notEqual">
      <formula>""</formula>
    </cfRule>
  </conditionalFormatting>
  <conditionalFormatting sqref="Z20 Z22">
    <cfRule type="cellIs" dxfId="505" priority="38" operator="notEqual">
      <formula>""</formula>
    </cfRule>
  </conditionalFormatting>
  <conditionalFormatting sqref="Y4">
    <cfRule type="cellIs" dxfId="504" priority="37" operator="notEqual">
      <formula>""</formula>
    </cfRule>
  </conditionalFormatting>
  <conditionalFormatting sqref="Y6">
    <cfRule type="cellIs" dxfId="503" priority="36" operator="notEqual">
      <formula>""</formula>
    </cfRule>
  </conditionalFormatting>
  <conditionalFormatting sqref="Y8">
    <cfRule type="cellIs" dxfId="502" priority="35" operator="notEqual">
      <formula>""</formula>
    </cfRule>
  </conditionalFormatting>
  <conditionalFormatting sqref="Y10">
    <cfRule type="cellIs" dxfId="501" priority="34" operator="notEqual">
      <formula>""</formula>
    </cfRule>
  </conditionalFormatting>
  <conditionalFormatting sqref="Y12">
    <cfRule type="cellIs" dxfId="500" priority="33" operator="notEqual">
      <formula>""</formula>
    </cfRule>
  </conditionalFormatting>
  <conditionalFormatting sqref="Y14">
    <cfRule type="cellIs" dxfId="499" priority="32" operator="notEqual">
      <formula>""</formula>
    </cfRule>
  </conditionalFormatting>
  <conditionalFormatting sqref="Y16">
    <cfRule type="cellIs" dxfId="498" priority="31" operator="notEqual">
      <formula>""</formula>
    </cfRule>
  </conditionalFormatting>
  <conditionalFormatting sqref="Y18">
    <cfRule type="cellIs" dxfId="497" priority="30" operator="notEqual">
      <formula>""</formula>
    </cfRule>
  </conditionalFormatting>
  <conditionalFormatting sqref="Y20 Y22">
    <cfRule type="cellIs" dxfId="496" priority="29" operator="notEqual">
      <formula>""</formula>
    </cfRule>
  </conditionalFormatting>
  <conditionalFormatting sqref="AB6">
    <cfRule type="cellIs" dxfId="495" priority="28" operator="notEqual">
      <formula>""</formula>
    </cfRule>
  </conditionalFormatting>
  <conditionalFormatting sqref="AB8">
    <cfRule type="cellIs" dxfId="494" priority="27" operator="notEqual">
      <formula>""</formula>
    </cfRule>
  </conditionalFormatting>
  <conditionalFormatting sqref="AB10">
    <cfRule type="cellIs" dxfId="493" priority="26" operator="notEqual">
      <formula>""</formula>
    </cfRule>
  </conditionalFormatting>
  <conditionalFormatting sqref="AB12">
    <cfRule type="cellIs" dxfId="492" priority="25" operator="notEqual">
      <formula>""</formula>
    </cfRule>
  </conditionalFormatting>
  <conditionalFormatting sqref="AB14">
    <cfRule type="cellIs" dxfId="491" priority="24" operator="notEqual">
      <formula>""</formula>
    </cfRule>
  </conditionalFormatting>
  <conditionalFormatting sqref="AB16">
    <cfRule type="cellIs" dxfId="490" priority="23" operator="notEqual">
      <formula>""</formula>
    </cfRule>
  </conditionalFormatting>
  <conditionalFormatting sqref="AB18">
    <cfRule type="cellIs" dxfId="489" priority="22" operator="notEqual">
      <formula>""</formula>
    </cfRule>
  </conditionalFormatting>
  <conditionalFormatting sqref="AB20 AB22">
    <cfRule type="cellIs" dxfId="488" priority="21" operator="notEqual">
      <formula>""</formula>
    </cfRule>
  </conditionalFormatting>
  <conditionalFormatting sqref="AA4">
    <cfRule type="cellIs" dxfId="487" priority="20" operator="notEqual">
      <formula>""</formula>
    </cfRule>
  </conditionalFormatting>
  <conditionalFormatting sqref="AA6">
    <cfRule type="cellIs" dxfId="486" priority="19" operator="notEqual">
      <formula>""</formula>
    </cfRule>
  </conditionalFormatting>
  <conditionalFormatting sqref="AA8">
    <cfRule type="cellIs" dxfId="485" priority="18" operator="notEqual">
      <formula>""</formula>
    </cfRule>
  </conditionalFormatting>
  <conditionalFormatting sqref="AA10">
    <cfRule type="cellIs" dxfId="484" priority="17" operator="notEqual">
      <formula>""</formula>
    </cfRule>
  </conditionalFormatting>
  <conditionalFormatting sqref="AA12">
    <cfRule type="cellIs" dxfId="483" priority="16" operator="notEqual">
      <formula>""</formula>
    </cfRule>
  </conditionalFormatting>
  <conditionalFormatting sqref="AA14">
    <cfRule type="cellIs" dxfId="482" priority="15" operator="notEqual">
      <formula>""</formula>
    </cfRule>
  </conditionalFormatting>
  <conditionalFormatting sqref="AA16">
    <cfRule type="cellIs" dxfId="481" priority="14" operator="notEqual">
      <formula>""</formula>
    </cfRule>
  </conditionalFormatting>
  <conditionalFormatting sqref="AA20 AA22">
    <cfRule type="cellIs" dxfId="480" priority="12" operator="notEqual">
      <formula>""</formula>
    </cfRule>
  </conditionalFormatting>
  <conditionalFormatting sqref="P4">
    <cfRule type="cellIs" dxfId="479" priority="11" operator="notEqual">
      <formula>P3</formula>
    </cfRule>
  </conditionalFormatting>
  <conditionalFormatting sqref="P6">
    <cfRule type="cellIs" dxfId="478" priority="10" operator="notEqual">
      <formula>P5</formula>
    </cfRule>
  </conditionalFormatting>
  <conditionalFormatting sqref="P8">
    <cfRule type="cellIs" dxfId="477" priority="9" operator="notEqual">
      <formula>P7</formula>
    </cfRule>
  </conditionalFormatting>
  <conditionalFormatting sqref="P10">
    <cfRule type="cellIs" dxfId="476" priority="8" operator="notEqual">
      <formula>P9</formula>
    </cfRule>
  </conditionalFormatting>
  <conditionalFormatting sqref="P12">
    <cfRule type="cellIs" dxfId="475" priority="7" operator="notEqual">
      <formula>P11</formula>
    </cfRule>
  </conditionalFormatting>
  <conditionalFormatting sqref="P14">
    <cfRule type="cellIs" dxfId="474" priority="6" operator="notEqual">
      <formula>P13</formula>
    </cfRule>
  </conditionalFormatting>
  <conditionalFormatting sqref="P16">
    <cfRule type="cellIs" dxfId="473" priority="5" operator="notEqual">
      <formula>P15</formula>
    </cfRule>
  </conditionalFormatting>
  <conditionalFormatting sqref="P18">
    <cfRule type="cellIs" dxfId="472" priority="4" operator="notEqual">
      <formula>P17</formula>
    </cfRule>
  </conditionalFormatting>
  <conditionalFormatting sqref="P20">
    <cfRule type="cellIs" dxfId="471" priority="3" operator="notEqual">
      <formula>P19</formula>
    </cfRule>
  </conditionalFormatting>
  <conditionalFormatting sqref="P22">
    <cfRule type="cellIs" dxfId="470" priority="2" operator="notEqual">
      <formula>P21</formula>
    </cfRule>
  </conditionalFormatting>
  <conditionalFormatting sqref="P24">
    <cfRule type="cellIs" dxfId="469" priority="1" operator="notEqual">
      <formula>P23</formula>
    </cfRule>
  </conditionalFormatting>
  <pageMargins left="0.70866141732283472" right="0.70866141732283472" top="0.78740157480314965" bottom="0.78740157480314965" header="0.31496062992125984" footer="0.31496062992125984"/>
  <pageSetup paperSize="9" scale="67" orientation="landscape" r:id="rId1"/>
  <headerFooter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6F18A-44DD-4D05-BBC2-45DCBF8053BD}">
  <sheetPr codeName="Tabelle5">
    <tabColor rgb="FFFF0000"/>
    <pageSetUpPr fitToPage="1"/>
  </sheetPr>
  <dimension ref="A1:AB47"/>
  <sheetViews>
    <sheetView workbookViewId="0">
      <pane xSplit="2" ySplit="1" topLeftCell="C2" activePane="bottomRight" state="frozen"/>
      <selection activeCell="G2" sqref="G2"/>
      <selection pane="topRight" activeCell="G2" sqref="G2"/>
      <selection pane="bottomLeft" activeCell="G2" sqref="G2"/>
      <selection pane="bottomRight" activeCell="H4" sqref="H4"/>
    </sheetView>
  </sheetViews>
  <sheetFormatPr baseColWidth="10" defaultRowHeight="15" x14ac:dyDescent="0.25"/>
  <cols>
    <col min="1" max="1" width="6.28515625" style="58" bestFit="1" customWidth="1"/>
    <col min="2" max="2" width="8.42578125" bestFit="1" customWidth="1"/>
    <col min="3" max="3" width="19.42578125" bestFit="1" customWidth="1"/>
    <col min="4" max="4" width="7.7109375" bestFit="1" customWidth="1"/>
    <col min="5" max="5" width="18" bestFit="1" customWidth="1"/>
    <col min="6" max="6" width="5.5703125" style="58" bestFit="1" customWidth="1"/>
    <col min="7" max="7" width="8.28515625" bestFit="1" customWidth="1"/>
    <col min="8" max="8" width="7.42578125" style="58" bestFit="1" customWidth="1"/>
    <col min="9" max="9" width="10.5703125" style="58" bestFit="1" customWidth="1"/>
    <col min="10" max="10" width="13.7109375" style="58" bestFit="1" customWidth="1"/>
    <col min="11" max="11" width="3" bestFit="1" customWidth="1"/>
    <col min="12" max="12" width="13" bestFit="1" customWidth="1"/>
    <col min="13" max="13" width="6.28515625" bestFit="1" customWidth="1"/>
    <col min="14" max="14" width="3" bestFit="1" customWidth="1"/>
    <col min="15" max="15" width="6.28515625" style="58" bestFit="1" customWidth="1"/>
    <col min="16" max="16" width="6.5703125" bestFit="1" customWidth="1"/>
    <col min="17" max="17" width="2.42578125" bestFit="1" customWidth="1"/>
    <col min="18" max="18" width="8" style="43" bestFit="1" customWidth="1"/>
    <col min="19" max="19" width="10.28515625" style="43" bestFit="1" customWidth="1"/>
    <col min="20" max="20" width="7.7109375" style="43" bestFit="1" customWidth="1"/>
    <col min="21" max="21" width="10" style="43" bestFit="1" customWidth="1"/>
    <col min="22" max="22" width="3" style="43" bestFit="1" customWidth="1"/>
    <col min="23" max="23" width="1.7109375" style="43" customWidth="1"/>
    <col min="24" max="24" width="7.7109375" style="43" bestFit="1" customWidth="1"/>
    <col min="25" max="25" width="10" style="43" bestFit="1" customWidth="1"/>
    <col min="26" max="26" width="3" style="102" bestFit="1" customWidth="1"/>
    <col min="27" max="27" width="10.28515625" style="43" bestFit="1" customWidth="1"/>
    <col min="28" max="28" width="3" style="43" bestFit="1" customWidth="1"/>
  </cols>
  <sheetData>
    <row r="1" spans="1:28" s="51" customFormat="1" x14ac:dyDescent="0.25">
      <c r="A1" s="47" t="s">
        <v>2</v>
      </c>
      <c r="B1" s="48" t="s">
        <v>31</v>
      </c>
      <c r="C1" s="48" t="s">
        <v>32</v>
      </c>
      <c r="D1" s="48" t="s">
        <v>33</v>
      </c>
      <c r="E1" s="48" t="s">
        <v>32</v>
      </c>
      <c r="F1" s="47" t="s">
        <v>5</v>
      </c>
      <c r="G1" s="49" t="s">
        <v>34</v>
      </c>
      <c r="H1" s="48" t="s">
        <v>35</v>
      </c>
      <c r="I1" s="47" t="s">
        <v>36</v>
      </c>
      <c r="J1" s="47" t="s">
        <v>37</v>
      </c>
      <c r="K1" s="48">
        <v>20</v>
      </c>
      <c r="L1" s="51" t="s">
        <v>99</v>
      </c>
      <c r="M1" s="131" t="s">
        <v>100</v>
      </c>
      <c r="N1" s="131"/>
      <c r="O1" s="89" t="s">
        <v>101</v>
      </c>
      <c r="P1" s="131" t="s">
        <v>102</v>
      </c>
      <c r="Q1" s="131"/>
      <c r="R1" s="91" t="s">
        <v>103</v>
      </c>
      <c r="S1" s="139" t="s">
        <v>105</v>
      </c>
      <c r="T1" s="139"/>
      <c r="U1" s="139" t="s">
        <v>106</v>
      </c>
      <c r="V1" s="139"/>
      <c r="W1" s="105"/>
      <c r="X1" s="90" t="s">
        <v>104</v>
      </c>
      <c r="Y1" s="140" t="s">
        <v>105</v>
      </c>
      <c r="Z1" s="140"/>
      <c r="AA1" s="138" t="s">
        <v>106</v>
      </c>
      <c r="AB1" s="138"/>
    </row>
    <row r="2" spans="1:28" x14ac:dyDescent="0.25">
      <c r="A2" s="52">
        <v>1</v>
      </c>
      <c r="B2" s="53" t="s">
        <v>42</v>
      </c>
      <c r="C2" s="53" t="str">
        <f>IF($B2="","",VLOOKUP($B2,Haltestellen!$A:$C,2))</f>
        <v>Burgstein Gl.2/V</v>
      </c>
      <c r="D2" s="53" t="s">
        <v>43</v>
      </c>
      <c r="E2" s="53" t="str">
        <f>IF($D2="","",VLOOKUP($D2,Haltestellen!$A:$C,2))</f>
        <v>Altena Gl.2/N</v>
      </c>
      <c r="F2" s="54">
        <v>1.0416666666666701E-2</v>
      </c>
      <c r="G2" s="55"/>
      <c r="H2" s="56">
        <v>4.8611111111111103E-3</v>
      </c>
      <c r="I2" s="56">
        <v>4.1666666666666701E-3</v>
      </c>
      <c r="J2" s="57">
        <f t="shared" ref="J2:J4" si="0">IF(H2="","",H2*24/60*$K$1)</f>
        <v>0.04</v>
      </c>
      <c r="L2" s="134" t="str">
        <f>IF(N2&lt;&gt;"","S-Bahn ABF1","")</f>
        <v>S-Bahn ABF1</v>
      </c>
      <c r="M2" s="136" t="str">
        <f>IF(N2&lt;&gt;"","Route","")</f>
        <v>Route</v>
      </c>
      <c r="N2" s="129">
        <v>1</v>
      </c>
      <c r="O2" s="92" t="str">
        <f>IF(N2="","","Relais")</f>
        <v>Relais</v>
      </c>
      <c r="P2" s="93" t="str">
        <f>IF(N2="","",VLOOKUP(N2,$A:$E,2))</f>
        <v>417.11</v>
      </c>
      <c r="Q2" s="93" t="str">
        <f>IF(N2="","",IF(RIGHT(P2,1)="1","V","N"))</f>
        <v>V</v>
      </c>
      <c r="R2" s="94"/>
      <c r="S2" s="101"/>
      <c r="T2" s="94"/>
      <c r="U2" s="94"/>
      <c r="V2" s="94"/>
      <c r="W2" s="94"/>
      <c r="X2" s="94" t="str">
        <f>IF(N2&lt;&gt;"","x","")</f>
        <v>x</v>
      </c>
      <c r="Y2" s="101" t="str">
        <f>IF(X2="x","S-Bahn AB","")</f>
        <v>S-Bahn AB</v>
      </c>
      <c r="Z2" s="103">
        <f>IF(X2="x",1,"")</f>
        <v>1</v>
      </c>
      <c r="AA2" s="101" t="str">
        <f>IF(X2="x","S-Bahn AN","")</f>
        <v>S-Bahn AN</v>
      </c>
      <c r="AB2" s="104">
        <f>IF(X2="x",1,"")</f>
        <v>1</v>
      </c>
    </row>
    <row r="3" spans="1:28" x14ac:dyDescent="0.25">
      <c r="A3" s="52">
        <v>2</v>
      </c>
      <c r="B3" s="55" t="s">
        <v>43</v>
      </c>
      <c r="C3" s="53" t="str">
        <f>IF($B3="","",VLOOKUP($B3,Haltestellen!$A:$C,2))</f>
        <v>Altena Gl.2/N</v>
      </c>
      <c r="D3" s="55" t="s">
        <v>44</v>
      </c>
      <c r="E3" s="53" t="str">
        <f>IF($D3="","",VLOOKUP($D3,Haltestellen!$A:$C,2))</f>
        <v>Burgstein Gl.2/N</v>
      </c>
      <c r="F3" s="56">
        <v>6.9444444444444397E-3</v>
      </c>
      <c r="G3" s="55"/>
      <c r="H3" s="52"/>
      <c r="I3" s="56">
        <v>4.1666666666666701E-3</v>
      </c>
      <c r="J3" s="57" t="str">
        <f t="shared" si="0"/>
        <v/>
      </c>
      <c r="L3" s="135"/>
      <c r="M3" s="137"/>
      <c r="N3" s="130"/>
      <c r="O3" s="95" t="str">
        <f>IF(N2="","","Relais")</f>
        <v>Relais</v>
      </c>
      <c r="P3" s="96" t="str">
        <f>IF(N2="","",VLOOKUP(N2,$A:$E,4))</f>
        <v>213.12</v>
      </c>
      <c r="Q3" s="96" t="str">
        <f>IF(N2="","",IF(RIGHT(P3,1)="1","V","N"))</f>
        <v>N</v>
      </c>
      <c r="R3" s="97" t="str">
        <f>IF(N2&lt;&gt;"","x","")</f>
        <v>x</v>
      </c>
      <c r="S3" s="100" t="str">
        <f>IF(R3="x","S-Bahn AN")</f>
        <v>S-Bahn AN</v>
      </c>
      <c r="T3" s="99">
        <v>2</v>
      </c>
      <c r="U3" s="100" t="str">
        <f>IF(R3="x","S-Bahn AB","")</f>
        <v>S-Bahn AB</v>
      </c>
      <c r="V3" s="97">
        <v>1</v>
      </c>
      <c r="W3" s="97"/>
      <c r="X3" s="97"/>
      <c r="Y3" s="97"/>
      <c r="Z3" s="99"/>
      <c r="AA3" s="97"/>
      <c r="AB3" s="98"/>
    </row>
    <row r="4" spans="1:28" x14ac:dyDescent="0.25">
      <c r="A4" s="52">
        <v>3</v>
      </c>
      <c r="B4" s="55" t="s">
        <v>44</v>
      </c>
      <c r="C4" s="53" t="str">
        <f>IF($B4="","",VLOOKUP($B4,Haltestellen!$A:$C,2))</f>
        <v>Burgstein Gl.2/N</v>
      </c>
      <c r="D4" s="55" t="s">
        <v>44</v>
      </c>
      <c r="E4" s="53" t="str">
        <f>IF($D4="","",VLOOKUP($D4,Haltestellen!$A:$C,2))</f>
        <v>Burgstein Gl.2/N</v>
      </c>
      <c r="F4" s="56">
        <v>2.4305555555555601E-2</v>
      </c>
      <c r="G4" s="55" t="s">
        <v>45</v>
      </c>
      <c r="H4" s="52"/>
      <c r="I4" s="56">
        <v>4.1666666666666701E-3</v>
      </c>
      <c r="J4" s="57" t="str">
        <f t="shared" si="0"/>
        <v/>
      </c>
      <c r="L4" s="134" t="str">
        <f>IF(N4&lt;&gt;"","S-Bahn ABF2","")</f>
        <v>S-Bahn ABF2</v>
      </c>
      <c r="M4" s="136" t="str">
        <f>IF(N4&lt;&gt;"","Route","")</f>
        <v>Route</v>
      </c>
      <c r="N4" s="129">
        <v>2</v>
      </c>
      <c r="O4" s="92" t="str">
        <f>IF(N4="","","Relais")</f>
        <v>Relais</v>
      </c>
      <c r="P4" s="93" t="str">
        <f>IF(N4="","",VLOOKUP(N4,$A:$E,2))</f>
        <v>213.12</v>
      </c>
      <c r="Q4" s="93" t="str">
        <f>IF(N4="","",IF(RIGHT(P4,1)="1","V","N"))</f>
        <v>N</v>
      </c>
      <c r="R4" s="94"/>
      <c r="S4" s="101"/>
      <c r="T4" s="94"/>
      <c r="U4" s="94"/>
      <c r="V4" s="94"/>
      <c r="W4" s="94"/>
      <c r="X4" s="94" t="str">
        <f>IF(N4&lt;&gt;"","x","")</f>
        <v>x</v>
      </c>
      <c r="Y4" s="101" t="str">
        <f>IF(X4="x","S-Bahn AB","")</f>
        <v>S-Bahn AB</v>
      </c>
      <c r="Z4" s="103">
        <f>IF(X4="x",Z2+1,"")</f>
        <v>2</v>
      </c>
      <c r="AA4" s="101" t="str">
        <f>IF(X4="x","S-Bahn AN","")</f>
        <v>S-Bahn AN</v>
      </c>
      <c r="AB4" s="104">
        <f>IF(X4="x",AB2+1,"")</f>
        <v>2</v>
      </c>
    </row>
    <row r="5" spans="1:28" x14ac:dyDescent="0.25">
      <c r="A5" s="52">
        <v>4</v>
      </c>
      <c r="B5" s="55" t="s">
        <v>44</v>
      </c>
      <c r="C5" s="53" t="str">
        <f>IF($B5="","",VLOOKUP($B5,Haltestellen!$A:$C,2))</f>
        <v>Burgstein Gl.2/N</v>
      </c>
      <c r="D5" s="55" t="s">
        <v>42</v>
      </c>
      <c r="E5" s="53" t="str">
        <f>IF($D5="","",VLOOKUP($D5,Haltestellen!$A:$C,2))</f>
        <v>Burgstein Gl.2/V</v>
      </c>
      <c r="F5" s="56">
        <v>3.19444444444444E-2</v>
      </c>
      <c r="G5" s="55" t="s">
        <v>45</v>
      </c>
      <c r="H5" s="56"/>
      <c r="I5" s="56">
        <v>4.1666666666666701E-3</v>
      </c>
      <c r="J5" s="57" t="str">
        <f>IF(H5="","",H5*24/60*$K$1)</f>
        <v/>
      </c>
      <c r="L5" s="135"/>
      <c r="M5" s="137"/>
      <c r="N5" s="130"/>
      <c r="O5" s="95" t="str">
        <f>IF(N4="","","Relais")</f>
        <v>Relais</v>
      </c>
      <c r="P5" s="96" t="str">
        <f>IF(N4="","",VLOOKUP(N4,$A:$E,4))</f>
        <v>417.12</v>
      </c>
      <c r="Q5" s="96" t="str">
        <f>IF(N4="","",IF(RIGHT(P5,1)="1","V","N"))</f>
        <v>N</v>
      </c>
      <c r="R5" s="97" t="str">
        <f>IF(N4&lt;&gt;"","x","")</f>
        <v>x</v>
      </c>
      <c r="S5" s="100" t="str">
        <f>IF(R5="x",S3,"")</f>
        <v>S-Bahn AN</v>
      </c>
      <c r="T5" s="99">
        <f>IF(R5="x",T3+1,"")</f>
        <v>3</v>
      </c>
      <c r="U5" s="100" t="str">
        <f>IF(R5="x","S-Bahn AB","")</f>
        <v>S-Bahn AB</v>
      </c>
      <c r="V5" s="97">
        <f>IF(R5="x",V3+1,"")</f>
        <v>2</v>
      </c>
      <c r="W5" s="97"/>
      <c r="X5" s="97"/>
      <c r="Y5" s="97"/>
      <c r="Z5" s="99"/>
      <c r="AA5" s="97"/>
      <c r="AB5" s="98"/>
    </row>
    <row r="6" spans="1:28" x14ac:dyDescent="0.25">
      <c r="A6" s="52">
        <v>5</v>
      </c>
      <c r="B6" s="55" t="s">
        <v>46</v>
      </c>
      <c r="C6" s="53" t="str">
        <f>IF($B6="","",VLOOKUP($B6,Haltestellen!$A:$C,2))</f>
        <v>Altena Gl.2/V</v>
      </c>
      <c r="D6" s="55" t="s">
        <v>42</v>
      </c>
      <c r="E6" s="53" t="str">
        <f>IF($D6="","",VLOOKUP($D6,Haltestellen!$A:$C,2))</f>
        <v>Burgstein Gl.2/V</v>
      </c>
      <c r="F6" s="56">
        <v>2.0833333333333301E-2</v>
      </c>
      <c r="G6" s="55"/>
      <c r="H6" s="52"/>
      <c r="I6" s="56">
        <v>4.1666666666666701E-3</v>
      </c>
      <c r="J6" s="57" t="str">
        <f t="shared" ref="J6:J38" si="1">IF(H6="","",H6*24/60*$K$1)</f>
        <v/>
      </c>
      <c r="L6" s="134" t="str">
        <f>IF(N6&lt;&gt;"","S-Bahn ABF3","")</f>
        <v>S-Bahn ABF3</v>
      </c>
      <c r="M6" s="136" t="str">
        <f>IF(N6&lt;&gt;"","Route","")</f>
        <v>Route</v>
      </c>
      <c r="N6" s="129">
        <v>11</v>
      </c>
      <c r="O6" s="92" t="str">
        <f>IF(N6="","","Relais")</f>
        <v>Relais</v>
      </c>
      <c r="P6" s="93" t="str">
        <f>IF(N6="","",VLOOKUP(N6,$A:$E,2))</f>
        <v>417.12</v>
      </c>
      <c r="Q6" s="93" t="str">
        <f>IF(N6="","",IF(RIGHT(P6,1)="1","V","N"))</f>
        <v>N</v>
      </c>
      <c r="R6" s="94"/>
      <c r="S6" s="101"/>
      <c r="T6" s="94"/>
      <c r="U6" s="94"/>
      <c r="V6" s="94"/>
      <c r="W6" s="94"/>
      <c r="X6" s="94" t="str">
        <f>IF(N6&lt;&gt;"","x","")</f>
        <v>x</v>
      </c>
      <c r="Y6" s="101" t="str">
        <f>IF(X6="x","S-Bahn AB","")</f>
        <v>S-Bahn AB</v>
      </c>
      <c r="Z6" s="103">
        <f>IF(X6="x",Z4+1,"")</f>
        <v>3</v>
      </c>
      <c r="AA6" s="101" t="str">
        <f>IF(X6="x","S-Bahn AN","")</f>
        <v>S-Bahn AN</v>
      </c>
      <c r="AB6" s="104">
        <f>IF(X6="x",AB4+1,"")</f>
        <v>3</v>
      </c>
    </row>
    <row r="7" spans="1:28" x14ac:dyDescent="0.25">
      <c r="A7" s="52">
        <v>6</v>
      </c>
      <c r="B7" s="55" t="s">
        <v>42</v>
      </c>
      <c r="C7" s="53" t="str">
        <f>IF($B7="","",VLOOKUP($B7,Haltestellen!$A:$C,2))</f>
        <v>Burgstein Gl.2/V</v>
      </c>
      <c r="D7" s="55" t="s">
        <v>46</v>
      </c>
      <c r="E7" s="53" t="str">
        <f>IF($D7="","",VLOOKUP($D7,Haltestellen!$A:$C,2))</f>
        <v>Altena Gl.2/V</v>
      </c>
      <c r="F7" s="56">
        <v>6.9444444444444397E-3</v>
      </c>
      <c r="G7" s="55"/>
      <c r="H7" s="52"/>
      <c r="I7" s="56">
        <v>4.1666666666666701E-3</v>
      </c>
      <c r="J7" s="57" t="str">
        <f t="shared" si="1"/>
        <v/>
      </c>
      <c r="L7" s="135"/>
      <c r="M7" s="137"/>
      <c r="N7" s="130"/>
      <c r="O7" s="95" t="str">
        <f>IF(N6="","","Relais")</f>
        <v>Relais</v>
      </c>
      <c r="P7" s="96" t="str">
        <f>IF(N6="","",VLOOKUP(N6,$A:$E,4))</f>
        <v>113.12</v>
      </c>
      <c r="Q7" s="96" t="str">
        <f>IF(N6="","",IF(RIGHT(P7,1)="1","V","N"))</f>
        <v>N</v>
      </c>
      <c r="R7" s="97" t="str">
        <f>IF(N6&lt;&gt;"","x","")</f>
        <v>x</v>
      </c>
      <c r="S7" s="100" t="str">
        <f>IF(R7="x",S5,"")</f>
        <v>S-Bahn AN</v>
      </c>
      <c r="T7" s="99">
        <f>IF(R7="x",T5+1,"")</f>
        <v>4</v>
      </c>
      <c r="U7" s="100" t="str">
        <f>IF(R7="x","S-Bahn AB","")</f>
        <v>S-Bahn AB</v>
      </c>
      <c r="V7" s="97">
        <f>IF(R7="x",V5+1,"")</f>
        <v>3</v>
      </c>
      <c r="W7" s="97"/>
      <c r="X7" s="97"/>
      <c r="Y7" s="97"/>
      <c r="Z7" s="99"/>
      <c r="AA7" s="97"/>
      <c r="AB7" s="98"/>
    </row>
    <row r="8" spans="1:28" x14ac:dyDescent="0.25">
      <c r="A8" s="52">
        <v>7</v>
      </c>
      <c r="B8" s="55" t="s">
        <v>46</v>
      </c>
      <c r="C8" s="53" t="str">
        <f>IF($B8="","",VLOOKUP($B8,Haltestellen!$A:$C,2))</f>
        <v>Altena Gl.2/V</v>
      </c>
      <c r="D8" s="55" t="s">
        <v>44</v>
      </c>
      <c r="E8" s="53" t="str">
        <f>IF($D8="","",VLOOKUP($D8,Haltestellen!$A:$C,2))</f>
        <v>Burgstein Gl.2/N</v>
      </c>
      <c r="F8" s="56">
        <v>1.1111111111111099E-2</v>
      </c>
      <c r="G8" s="55"/>
      <c r="H8" s="52"/>
      <c r="I8" s="56">
        <v>4.1666666666666701E-3</v>
      </c>
      <c r="J8" s="57" t="str">
        <f t="shared" si="1"/>
        <v/>
      </c>
      <c r="L8" s="134" t="str">
        <f>IF(N8&lt;&gt;"","S-Bahn ABF4","")</f>
        <v>S-Bahn ABF4</v>
      </c>
      <c r="M8" s="136" t="str">
        <f>IF(N8&lt;&gt;"","Route","")</f>
        <v>Route</v>
      </c>
      <c r="N8" s="129">
        <v>12</v>
      </c>
      <c r="O8" s="92" t="str">
        <f>IF(N8="","","Relais")</f>
        <v>Relais</v>
      </c>
      <c r="P8" s="93" t="str">
        <f>IF(N8="","",VLOOKUP(N8,$A:$E,2))</f>
        <v>113.12</v>
      </c>
      <c r="Q8" s="93" t="str">
        <f>IF(N8="","",IF(RIGHT(P8,1)="1","V","N"))</f>
        <v>N</v>
      </c>
      <c r="R8" s="94"/>
      <c r="S8" s="101"/>
      <c r="T8" s="94"/>
      <c r="U8" s="94"/>
      <c r="V8" s="94"/>
      <c r="W8" s="94"/>
      <c r="X8" s="94" t="str">
        <f>IF(N8&lt;&gt;"","x","")</f>
        <v>x</v>
      </c>
      <c r="Y8" s="101" t="str">
        <f>IF(X8="x","S-Bahn AB","")</f>
        <v>S-Bahn AB</v>
      </c>
      <c r="Z8" s="103">
        <f>IF(X8="x",Z6+1,"")</f>
        <v>4</v>
      </c>
      <c r="AA8" s="101" t="str">
        <f>IF(X8="x","S-Bahn AN","")</f>
        <v>S-Bahn AN</v>
      </c>
      <c r="AB8" s="104">
        <f>IF(X8="x",AB6+1,"")</f>
        <v>4</v>
      </c>
    </row>
    <row r="9" spans="1:28" x14ac:dyDescent="0.25">
      <c r="A9" s="52">
        <v>8</v>
      </c>
      <c r="B9" s="55" t="s">
        <v>44</v>
      </c>
      <c r="C9" s="53" t="str">
        <f>IF($B9="","",VLOOKUP($B9,Haltestellen!$A:$C,2))</f>
        <v>Burgstein Gl.2/N</v>
      </c>
      <c r="D9" s="55" t="s">
        <v>42</v>
      </c>
      <c r="E9" s="53" t="str">
        <f>IF($D9="","",VLOOKUP($D9,Haltestellen!$A:$C,2))</f>
        <v>Burgstein Gl.2/V</v>
      </c>
      <c r="F9" s="56">
        <v>1.7361111111111101E-2</v>
      </c>
      <c r="G9" s="55"/>
      <c r="H9" s="52"/>
      <c r="I9" s="56">
        <v>4.1666666666666701E-3</v>
      </c>
      <c r="J9" s="57" t="str">
        <f t="shared" si="1"/>
        <v/>
      </c>
      <c r="L9" s="135"/>
      <c r="M9" s="137"/>
      <c r="N9" s="130"/>
      <c r="O9" s="95" t="str">
        <f>IF(N8="","","Relais")</f>
        <v>Relais</v>
      </c>
      <c r="P9" s="96" t="str">
        <f>IF(N8="","",VLOOKUP(N8,$A:$E,4))</f>
        <v>417.12</v>
      </c>
      <c r="Q9" s="96" t="str">
        <f>IF(N8="","",IF(RIGHT(P9,1)="1","V","N"))</f>
        <v>N</v>
      </c>
      <c r="R9" s="97" t="str">
        <f>IF(N8&lt;&gt;"","x","")</f>
        <v>x</v>
      </c>
      <c r="S9" s="100" t="str">
        <f>IF(R9="x",S7,"")</f>
        <v>S-Bahn AN</v>
      </c>
      <c r="T9" s="99">
        <f>IF(R9="x",T7+1,"")</f>
        <v>5</v>
      </c>
      <c r="U9" s="100" t="str">
        <f>IF(R9="x","S-Bahn AB","")</f>
        <v>S-Bahn AB</v>
      </c>
      <c r="V9" s="97">
        <f>IF(R9="x",V7+1,"")</f>
        <v>4</v>
      </c>
      <c r="W9" s="97"/>
      <c r="X9" s="97"/>
      <c r="Y9" s="97"/>
      <c r="Z9" s="99"/>
      <c r="AA9" s="97"/>
      <c r="AB9" s="98"/>
    </row>
    <row r="10" spans="1:28" x14ac:dyDescent="0.25">
      <c r="A10" s="52">
        <v>9</v>
      </c>
      <c r="B10" s="55" t="s">
        <v>46</v>
      </c>
      <c r="C10" s="53" t="str">
        <f>IF($B10="","",VLOOKUP($B10,Haltestellen!$A:$C,2))</f>
        <v>Altena Gl.2/V</v>
      </c>
      <c r="D10" s="55" t="s">
        <v>121</v>
      </c>
      <c r="E10" s="53" t="str">
        <f>IF($D10="","",VLOOKUP($D10,Haltestellen!$A:$C,2))</f>
        <v>Altstadt Gl.3/N</v>
      </c>
      <c r="F10" s="56">
        <v>1.4583333333333301E-2</v>
      </c>
      <c r="G10" s="55"/>
      <c r="H10" s="52"/>
      <c r="I10" s="56">
        <v>6.9444444444444397E-3</v>
      </c>
      <c r="J10" s="57" t="str">
        <f t="shared" si="1"/>
        <v/>
      </c>
      <c r="L10" s="134" t="str">
        <f>IF(N10&lt;&gt;"","S-Bahn ABF5","")</f>
        <v>S-Bahn ABF5</v>
      </c>
      <c r="M10" s="136" t="str">
        <f>IF(N10&lt;&gt;"","Route","")</f>
        <v>Route</v>
      </c>
      <c r="N10" s="129">
        <v>11</v>
      </c>
      <c r="O10" s="92" t="str">
        <f>IF(N10="","","Relais")</f>
        <v>Relais</v>
      </c>
      <c r="P10" s="93" t="str">
        <f>IF(N10="","",VLOOKUP(N10,$A:$E,2))</f>
        <v>417.12</v>
      </c>
      <c r="Q10" s="93" t="str">
        <f>IF(N10="","",IF(RIGHT(P10,1)="1","V","N"))</f>
        <v>N</v>
      </c>
      <c r="R10" s="94"/>
      <c r="S10" s="101"/>
      <c r="T10" s="94"/>
      <c r="U10" s="94"/>
      <c r="V10" s="94"/>
      <c r="W10" s="94"/>
      <c r="X10" s="94" t="str">
        <f>IF(N10&lt;&gt;"","x","")</f>
        <v>x</v>
      </c>
      <c r="Y10" s="101" t="str">
        <f>IF(X10="x","S-Bahn AB","")</f>
        <v>S-Bahn AB</v>
      </c>
      <c r="Z10" s="103">
        <f>IF(X10="x",Z8+1,"")</f>
        <v>5</v>
      </c>
      <c r="AA10" s="101" t="str">
        <f>IF(X10="x","S-Bahn AN","")</f>
        <v>S-Bahn AN</v>
      </c>
      <c r="AB10" s="104">
        <f>IF(X10="x",AB8+1,"")</f>
        <v>5</v>
      </c>
    </row>
    <row r="11" spans="1:28" x14ac:dyDescent="0.25">
      <c r="A11" s="52">
        <v>10</v>
      </c>
      <c r="B11" s="55" t="s">
        <v>121</v>
      </c>
      <c r="C11" s="53" t="str">
        <f>IF($B11="","",VLOOKUP($B11,Haltestellen!$A:$C,2))</f>
        <v>Altstadt Gl.3/N</v>
      </c>
      <c r="D11" s="55" t="s">
        <v>43</v>
      </c>
      <c r="E11" s="53" t="str">
        <f>IF($D11="","",VLOOKUP($D11,Haltestellen!$A:$C,2))</f>
        <v>Altena Gl.2/N</v>
      </c>
      <c r="F11" s="56">
        <v>1.8055555555555599E-2</v>
      </c>
      <c r="G11" s="55"/>
      <c r="H11" s="52"/>
      <c r="I11" s="56">
        <v>4.1666666666666701E-3</v>
      </c>
      <c r="J11" s="57" t="str">
        <f t="shared" si="1"/>
        <v/>
      </c>
      <c r="L11" s="135"/>
      <c r="M11" s="137"/>
      <c r="N11" s="130"/>
      <c r="O11" s="95" t="str">
        <f>IF(N10="","","Relais")</f>
        <v>Relais</v>
      </c>
      <c r="P11" s="96" t="str">
        <f>IF(N10="","",VLOOKUP(N10,$A:$E,4))</f>
        <v>113.12</v>
      </c>
      <c r="Q11" s="96" t="str">
        <f>IF(N10="","",IF(RIGHT(P11,1)="1","V","N"))</f>
        <v>N</v>
      </c>
      <c r="R11" s="97" t="str">
        <f>IF(N10&lt;&gt;"","x","")</f>
        <v>x</v>
      </c>
      <c r="S11" s="100" t="str">
        <f>IF(R11="x",S9,"")</f>
        <v>S-Bahn AN</v>
      </c>
      <c r="T11" s="99">
        <f>IF(R11="x",T9+1,"")</f>
        <v>6</v>
      </c>
      <c r="U11" s="100" t="str">
        <f>IF(R11="x","S-Bahn AB","")</f>
        <v>S-Bahn AB</v>
      </c>
      <c r="V11" s="97">
        <f>IF(R11="x",V9+1,"")</f>
        <v>5</v>
      </c>
      <c r="W11" s="97"/>
      <c r="X11" s="97"/>
      <c r="Y11" s="97"/>
      <c r="Z11" s="99"/>
      <c r="AA11" s="97"/>
      <c r="AB11" s="98"/>
    </row>
    <row r="12" spans="1:28" x14ac:dyDescent="0.25">
      <c r="A12" s="52">
        <v>11</v>
      </c>
      <c r="B12" s="55" t="s">
        <v>44</v>
      </c>
      <c r="C12" s="53" t="str">
        <f>IF($B12="","",VLOOKUP($B12,Haltestellen!$A:$C,2))</f>
        <v>Burgstein Gl.2/N</v>
      </c>
      <c r="D12" s="55" t="s">
        <v>121</v>
      </c>
      <c r="E12" s="53" t="str">
        <f>IF($D12="","",VLOOKUP($D12,Haltestellen!$A:$C,2))</f>
        <v>Altstadt Gl.3/N</v>
      </c>
      <c r="F12" s="56">
        <v>1.1111111111111099E-2</v>
      </c>
      <c r="G12" s="55"/>
      <c r="H12" s="52"/>
      <c r="I12" s="56">
        <v>1.0416666666666701E-2</v>
      </c>
      <c r="J12" s="57" t="str">
        <f t="shared" si="1"/>
        <v/>
      </c>
      <c r="L12" s="134" t="str">
        <f>IF(N12&lt;&gt;"","S-Bahn ABF6","")</f>
        <v>S-Bahn ABF6</v>
      </c>
      <c r="M12" s="136" t="str">
        <f>IF(N12&lt;&gt;"","Route","")</f>
        <v>Route</v>
      </c>
      <c r="N12" s="129">
        <v>14</v>
      </c>
      <c r="O12" s="92" t="str">
        <f>IF(N12="","","Relais")</f>
        <v>Relais</v>
      </c>
      <c r="P12" s="93" t="str">
        <f>IF(N12="","",VLOOKUP(N12,$A:$E,2))</f>
        <v>113.12</v>
      </c>
      <c r="Q12" s="93" t="str">
        <f>IF(N12="","",IF(RIGHT(P12,1)="1","V","N"))</f>
        <v>N</v>
      </c>
      <c r="R12" s="94"/>
      <c r="S12" s="101"/>
      <c r="T12" s="94"/>
      <c r="U12" s="94"/>
      <c r="V12" s="94"/>
      <c r="W12" s="94"/>
      <c r="X12" s="94" t="str">
        <f>IF(N12&lt;&gt;"","x","")</f>
        <v>x</v>
      </c>
      <c r="Y12" s="101" t="str">
        <f>IF(X12="x","S-Bahn AB","")</f>
        <v>S-Bahn AB</v>
      </c>
      <c r="Z12" s="103">
        <f>IF(X12="x",Z10+1,"")</f>
        <v>6</v>
      </c>
      <c r="AA12" s="101" t="str">
        <f>IF(X12="x","S-Bahn AN","")</f>
        <v>S-Bahn AN</v>
      </c>
      <c r="AB12" s="104">
        <f>IF(X12="x",AB10+1,"")</f>
        <v>6</v>
      </c>
    </row>
    <row r="13" spans="1:28" x14ac:dyDescent="0.25">
      <c r="A13" s="52">
        <v>12</v>
      </c>
      <c r="B13" s="55" t="s">
        <v>121</v>
      </c>
      <c r="C13" s="53" t="str">
        <f>IF($B13="","",VLOOKUP($B13,Haltestellen!$A:$C,2))</f>
        <v>Altstadt Gl.3/N</v>
      </c>
      <c r="D13" s="55" t="s">
        <v>44</v>
      </c>
      <c r="E13" s="53" t="str">
        <f>IF($D13="","",VLOOKUP($D13,Haltestellen!$A:$C,2))</f>
        <v>Burgstein Gl.2/N</v>
      </c>
      <c r="F13" s="56">
        <v>1.8055555555555599E-2</v>
      </c>
      <c r="G13" s="55"/>
      <c r="H13" s="52"/>
      <c r="I13" s="56">
        <v>4.1666666666666701E-3</v>
      </c>
      <c r="J13" s="57" t="str">
        <f t="shared" si="1"/>
        <v/>
      </c>
      <c r="L13" s="135"/>
      <c r="M13" s="137"/>
      <c r="N13" s="130"/>
      <c r="O13" s="95" t="str">
        <f>IF(N12="","","Relais")</f>
        <v>Relais</v>
      </c>
      <c r="P13" s="96" t="str">
        <f>IF(N12="","",VLOOKUP(N12,$A:$E,4))</f>
        <v>213.11</v>
      </c>
      <c r="Q13" s="96" t="str">
        <f>IF(N12="","",IF(RIGHT(P13,1)="1","V","N"))</f>
        <v>V</v>
      </c>
      <c r="R13" s="97" t="str">
        <f>IF(N12&lt;&gt;"","x","")</f>
        <v>x</v>
      </c>
      <c r="S13" s="100" t="str">
        <f>IF(R13="x",S11,"")</f>
        <v>S-Bahn AN</v>
      </c>
      <c r="T13" s="99">
        <f>IF(R13="x",T11+1,"")</f>
        <v>7</v>
      </c>
      <c r="U13" s="100" t="str">
        <f>IF(R13="x","S-Bahn AB","")</f>
        <v>S-Bahn AB</v>
      </c>
      <c r="V13" s="97">
        <f>IF(R13="x",V11+1,"")</f>
        <v>6</v>
      </c>
      <c r="W13" s="97"/>
      <c r="X13" s="97"/>
      <c r="Y13" s="97"/>
      <c r="Z13" s="99"/>
      <c r="AA13" s="97"/>
      <c r="AB13" s="98"/>
    </row>
    <row r="14" spans="1:28" x14ac:dyDescent="0.25">
      <c r="A14" s="52">
        <v>13</v>
      </c>
      <c r="B14" s="55" t="s">
        <v>121</v>
      </c>
      <c r="C14" s="53" t="str">
        <f>IF($B14="","",VLOOKUP($B14,Haltestellen!$A:$C,2))</f>
        <v>Altstadt Gl.3/N</v>
      </c>
      <c r="D14" s="55" t="s">
        <v>42</v>
      </c>
      <c r="E14" s="53" t="str">
        <f>IF($D14="","",VLOOKUP($D14,Haltestellen!$A:$C,2))</f>
        <v>Burgstein Gl.2/V</v>
      </c>
      <c r="F14" s="56">
        <v>1.1111111111111099E-2</v>
      </c>
      <c r="G14" s="55"/>
      <c r="H14" s="52"/>
      <c r="I14" s="56">
        <v>4.1666666666666701E-3</v>
      </c>
      <c r="J14" s="57" t="str">
        <f t="shared" si="1"/>
        <v/>
      </c>
      <c r="L14" s="134" t="str">
        <f>IF(N14&lt;&gt;"","S-Bahn ABF7","")</f>
        <v>S-Bahn ABF7</v>
      </c>
      <c r="M14" s="136" t="str">
        <f>IF(N14&lt;&gt;"","Route","")</f>
        <v>Route</v>
      </c>
      <c r="N14" s="129">
        <v>7</v>
      </c>
      <c r="O14" s="92" t="str">
        <f>IF(N14="","","Relais")</f>
        <v>Relais</v>
      </c>
      <c r="P14" s="93" t="str">
        <f>IF(N14="","",VLOOKUP(N14,$A:$E,2))</f>
        <v>213.11</v>
      </c>
      <c r="Q14" s="93" t="str">
        <f>IF(N14="","",IF(RIGHT(P14,1)="1","V","N"))</f>
        <v>V</v>
      </c>
      <c r="R14" s="94"/>
      <c r="S14" s="101"/>
      <c r="T14" s="94"/>
      <c r="U14" s="94"/>
      <c r="V14" s="94"/>
      <c r="W14" s="94"/>
      <c r="X14" s="94" t="str">
        <f>IF(N14&lt;&gt;"","x","")</f>
        <v>x</v>
      </c>
      <c r="Y14" s="101" t="str">
        <f>IF(X14="x","S-Bahn AB","")</f>
        <v>S-Bahn AB</v>
      </c>
      <c r="Z14" s="103">
        <f>IF(X14="x",Z12+1,"")</f>
        <v>7</v>
      </c>
      <c r="AA14" s="101" t="str">
        <f>IF(X14="x","S-Bahn AN","")</f>
        <v>S-Bahn AN</v>
      </c>
      <c r="AB14" s="104">
        <f>IF(X14="x",AB12+1,"")</f>
        <v>7</v>
      </c>
    </row>
    <row r="15" spans="1:28" x14ac:dyDescent="0.25">
      <c r="A15" s="52">
        <v>14</v>
      </c>
      <c r="B15" s="55" t="s">
        <v>121</v>
      </c>
      <c r="C15" s="53" t="str">
        <f>IF($B15="","",VLOOKUP($B15,Haltestellen!$A:$C,2))</f>
        <v>Altstadt Gl.3/N</v>
      </c>
      <c r="D15" s="55" t="s">
        <v>46</v>
      </c>
      <c r="E15" s="53" t="str">
        <f>IF($D15="","",VLOOKUP($D15,Haltestellen!$A:$C,2))</f>
        <v>Altena Gl.2/V</v>
      </c>
      <c r="F15" s="56">
        <v>1.4583333333333301E-2</v>
      </c>
      <c r="G15" s="55"/>
      <c r="H15" s="52"/>
      <c r="I15" s="56">
        <v>4.1666666666666701E-3</v>
      </c>
      <c r="J15" s="57" t="str">
        <f t="shared" si="1"/>
        <v/>
      </c>
      <c r="L15" s="135"/>
      <c r="M15" s="137"/>
      <c r="N15" s="130"/>
      <c r="O15" s="95" t="str">
        <f>IF(N14="","","Relais")</f>
        <v>Relais</v>
      </c>
      <c r="P15" s="96" t="str">
        <f>IF(N14="","",VLOOKUP(N14,$A:$E,4))</f>
        <v>417.12</v>
      </c>
      <c r="Q15" s="96" t="str">
        <f>IF(N14="","",IF(RIGHT(P15,1)="1","V","N"))</f>
        <v>N</v>
      </c>
      <c r="R15" s="97" t="str">
        <f>IF(N14&lt;&gt;"","x","")</f>
        <v>x</v>
      </c>
      <c r="S15" s="100" t="str">
        <f>IF(R15="x",S13,"")</f>
        <v>S-Bahn AN</v>
      </c>
      <c r="T15" s="99">
        <f>IF(R15="x",T13+1,"")</f>
        <v>8</v>
      </c>
      <c r="U15" s="100" t="str">
        <f>IF(R15="x","S-Bahn AB","")</f>
        <v>S-Bahn AB</v>
      </c>
      <c r="V15" s="97">
        <f>IF(R15="x",V13+1,"")</f>
        <v>7</v>
      </c>
      <c r="W15" s="97"/>
      <c r="X15" s="97"/>
      <c r="Y15" s="97"/>
      <c r="Z15" s="99"/>
      <c r="AA15" s="97"/>
      <c r="AB15" s="98"/>
    </row>
    <row r="16" spans="1:28" x14ac:dyDescent="0.25">
      <c r="A16" s="52"/>
      <c r="B16" s="55"/>
      <c r="C16" s="53" t="str">
        <f>IF($B16="","",VLOOKUP($B16,Haltestellen!$A:$C,2))</f>
        <v/>
      </c>
      <c r="D16" s="55"/>
      <c r="E16" s="53" t="str">
        <f>IF($D16="","",VLOOKUP($D16,Haltestellen!$A:$C,2))</f>
        <v/>
      </c>
      <c r="F16" s="52"/>
      <c r="G16" s="55"/>
      <c r="H16" s="52"/>
      <c r="I16" s="52"/>
      <c r="J16" s="57" t="str">
        <f t="shared" si="1"/>
        <v/>
      </c>
      <c r="L16" s="134" t="str">
        <f>IF(N16&lt;&gt;"","S-Bahn ABF8","")</f>
        <v>S-Bahn ABF8</v>
      </c>
      <c r="M16" s="136" t="str">
        <f>IF(N16&lt;&gt;"","Route","")</f>
        <v>Route</v>
      </c>
      <c r="N16" s="129">
        <v>11</v>
      </c>
      <c r="O16" s="92" t="str">
        <f>IF(N16="","","Relais")</f>
        <v>Relais</v>
      </c>
      <c r="P16" s="93" t="str">
        <f>IF(N16="","",VLOOKUP(N16,$A:$E,2))</f>
        <v>417.12</v>
      </c>
      <c r="Q16" s="93" t="str">
        <f>IF(N16="","",IF(RIGHT(P16,1)="1","V","N"))</f>
        <v>N</v>
      </c>
      <c r="R16" s="94"/>
      <c r="S16" s="101"/>
      <c r="T16" s="94"/>
      <c r="U16" s="94"/>
      <c r="V16" s="94"/>
      <c r="W16" s="94"/>
      <c r="X16" s="94" t="str">
        <f>IF(N16&lt;&gt;"","x","")</f>
        <v>x</v>
      </c>
      <c r="Y16" s="101" t="str">
        <f>IF(X16="x","S-Bahn AB","")</f>
        <v>S-Bahn AB</v>
      </c>
      <c r="Z16" s="103">
        <f>IF(X16="x",Z14+1,"")</f>
        <v>8</v>
      </c>
      <c r="AA16" s="101" t="str">
        <f>IF(X16="x","S-Bahn AN","")</f>
        <v>S-Bahn AN</v>
      </c>
      <c r="AB16" s="104">
        <f>IF(X16="x",AB14+1,"")</f>
        <v>8</v>
      </c>
    </row>
    <row r="17" spans="1:28" x14ac:dyDescent="0.25">
      <c r="A17" s="52"/>
      <c r="B17" s="55"/>
      <c r="C17" s="53" t="str">
        <f>IF($B17="","",VLOOKUP($B17,Haltestellen!$A:$C,2))</f>
        <v/>
      </c>
      <c r="D17" s="55"/>
      <c r="E17" s="53" t="str">
        <f>IF($D17="","",VLOOKUP($D17,Haltestellen!$A:$C,2))</f>
        <v/>
      </c>
      <c r="F17" s="52"/>
      <c r="G17" s="55"/>
      <c r="H17" s="52"/>
      <c r="I17" s="52"/>
      <c r="J17" s="57" t="str">
        <f t="shared" si="1"/>
        <v/>
      </c>
      <c r="L17" s="135"/>
      <c r="M17" s="137"/>
      <c r="N17" s="130"/>
      <c r="O17" s="95" t="str">
        <f>IF(N16="","","Relais")</f>
        <v>Relais</v>
      </c>
      <c r="P17" s="96" t="str">
        <f>IF(N16="","",VLOOKUP(N16,$A:$E,4))</f>
        <v>113.12</v>
      </c>
      <c r="Q17" s="96" t="str">
        <f>IF(N16="","",IF(RIGHT(P17,1)="1","V","N"))</f>
        <v>N</v>
      </c>
      <c r="R17" s="97" t="str">
        <f>IF(N16&lt;&gt;"","x","")</f>
        <v>x</v>
      </c>
      <c r="S17" s="100" t="str">
        <f>IF(R17="x",S15,"")</f>
        <v>S-Bahn AN</v>
      </c>
      <c r="T17" s="99">
        <f>IF(R17="x",T15+1,"")</f>
        <v>9</v>
      </c>
      <c r="U17" s="100" t="str">
        <f>IF(R17="x","S-Bahn AB","")</f>
        <v>S-Bahn AB</v>
      </c>
      <c r="V17" s="97">
        <f>IF(R17="x",V15+1,"")</f>
        <v>8</v>
      </c>
      <c r="W17" s="97"/>
      <c r="X17" s="97"/>
      <c r="Y17" s="97"/>
      <c r="Z17" s="99"/>
      <c r="AA17" s="97"/>
      <c r="AB17" s="98"/>
    </row>
    <row r="18" spans="1:28" x14ac:dyDescent="0.25">
      <c r="A18" s="52"/>
      <c r="B18" s="55"/>
      <c r="C18" s="53" t="str">
        <f>IF($B18="","",VLOOKUP($B18,Haltestellen!$A:$C,2))</f>
        <v/>
      </c>
      <c r="D18" s="55"/>
      <c r="E18" s="53" t="str">
        <f>IF($D18="","",VLOOKUP($D18,Haltestellen!$A:$C,2))</f>
        <v/>
      </c>
      <c r="F18" s="52"/>
      <c r="G18" s="55"/>
      <c r="H18" s="52"/>
      <c r="I18" s="52"/>
      <c r="J18" s="57" t="str">
        <f t="shared" si="1"/>
        <v/>
      </c>
      <c r="L18" s="134" t="str">
        <f>IF(N18&lt;&gt;"","S-Bahn ABF9","")</f>
        <v>S-Bahn ABF9</v>
      </c>
      <c r="M18" s="136" t="str">
        <f>IF(N18&lt;&gt;"","Route","")</f>
        <v>Route</v>
      </c>
      <c r="N18" s="129">
        <v>13</v>
      </c>
      <c r="O18" s="92" t="str">
        <f>IF(N18="","","Relais")</f>
        <v>Relais</v>
      </c>
      <c r="P18" s="93" t="str">
        <f>IF(N18="","",VLOOKUP(N18,$A:$E,2))</f>
        <v>113.12</v>
      </c>
      <c r="Q18" s="93" t="str">
        <f>IF(N18="","",IF(RIGHT(P18,1)="1","V","N"))</f>
        <v>N</v>
      </c>
      <c r="R18" s="94"/>
      <c r="S18" s="101"/>
      <c r="T18" s="94"/>
      <c r="U18" s="94"/>
      <c r="V18" s="94"/>
      <c r="W18" s="94"/>
      <c r="X18" s="94" t="str">
        <f>IF(N18&lt;&gt;"","x","")</f>
        <v>x</v>
      </c>
      <c r="Y18" s="101" t="str">
        <f>IF(X18="x","S-Bahn AB","")</f>
        <v>S-Bahn AB</v>
      </c>
      <c r="Z18" s="103">
        <f>IF(X18="x",Z16+1,"")</f>
        <v>9</v>
      </c>
      <c r="AA18" s="101" t="str">
        <f>IF(X18="x","S-Bahn AN","")</f>
        <v>S-Bahn AN</v>
      </c>
      <c r="AB18" s="104">
        <f>IF(X18="x",AB16+1,"")</f>
        <v>9</v>
      </c>
    </row>
    <row r="19" spans="1:28" x14ac:dyDescent="0.25">
      <c r="A19" s="52"/>
      <c r="B19" s="55"/>
      <c r="C19" s="53" t="str">
        <f>IF($B19="","",VLOOKUP($B19,Haltestellen!$A:$C,2))</f>
        <v/>
      </c>
      <c r="D19" s="55"/>
      <c r="E19" s="53" t="str">
        <f>IF($D19="","",VLOOKUP($D19,Haltestellen!$A:$C,2))</f>
        <v/>
      </c>
      <c r="F19" s="52"/>
      <c r="G19" s="55"/>
      <c r="H19" s="52"/>
      <c r="I19" s="52"/>
      <c r="J19" s="57" t="str">
        <f t="shared" si="1"/>
        <v/>
      </c>
      <c r="L19" s="135"/>
      <c r="M19" s="137"/>
      <c r="N19" s="130"/>
      <c r="O19" s="95" t="str">
        <f>IF(N18="","","Relais")</f>
        <v>Relais</v>
      </c>
      <c r="P19" s="96" t="str">
        <f>IF(N18="","",VLOOKUP(N18,$A:$E,4))</f>
        <v>417.11</v>
      </c>
      <c r="Q19" s="96" t="str">
        <f>IF(N18="","",IF(RIGHT(P19,1)="1","V","N"))</f>
        <v>V</v>
      </c>
      <c r="R19" s="97" t="str">
        <f>IF(N18&lt;&gt;"","x","")</f>
        <v>x</v>
      </c>
      <c r="S19" s="100" t="str">
        <f>IF(R19="x",S17,"")</f>
        <v>S-Bahn AN</v>
      </c>
      <c r="T19" s="99">
        <f>IF(R19="x",1,"")</f>
        <v>1</v>
      </c>
      <c r="U19" s="100" t="str">
        <f>IF(R19="x","S-Bahn AB","")</f>
        <v>S-Bahn AB</v>
      </c>
      <c r="V19" s="97">
        <f>IF(R19="x",V17+1,"")</f>
        <v>9</v>
      </c>
      <c r="W19" s="97"/>
      <c r="X19" s="97"/>
      <c r="Y19" s="97"/>
      <c r="Z19" s="99"/>
      <c r="AA19" s="97"/>
      <c r="AB19" s="98"/>
    </row>
    <row r="20" spans="1:28" x14ac:dyDescent="0.25">
      <c r="A20" s="52"/>
      <c r="B20" s="55"/>
      <c r="C20" s="53" t="str">
        <f>IF($B20="","",VLOOKUP($B20,Haltestellen!$A:$C,2))</f>
        <v/>
      </c>
      <c r="D20" s="55"/>
      <c r="E20" s="53" t="str">
        <f>IF($D20="","",VLOOKUP($D20,Haltestellen!$A:$C,2))</f>
        <v/>
      </c>
      <c r="F20" s="52"/>
      <c r="G20" s="55"/>
      <c r="H20" s="52"/>
      <c r="I20" s="52"/>
      <c r="J20" s="57" t="str">
        <f t="shared" si="1"/>
        <v/>
      </c>
      <c r="L20" s="134" t="str">
        <f>IF(N20&lt;&gt;"","S-Bahn ABF10","")</f>
        <v/>
      </c>
      <c r="M20" s="136" t="str">
        <f>IF(N20&lt;&gt;"","Route","")</f>
        <v/>
      </c>
      <c r="N20" s="129"/>
      <c r="O20" s="92" t="str">
        <f>IF(N20="","","Relais")</f>
        <v/>
      </c>
      <c r="P20" s="93" t="str">
        <f>IF(N20="","",VLOOKUP(N20,$A:$E,2))</f>
        <v/>
      </c>
      <c r="Q20" s="93" t="str">
        <f>IF(N20="","",IF(RIGHT(P20,1)="1","V","N"))</f>
        <v/>
      </c>
      <c r="R20" s="94"/>
      <c r="S20" s="101"/>
      <c r="T20" s="94"/>
      <c r="U20" s="94"/>
      <c r="V20" s="94"/>
      <c r="W20" s="94"/>
      <c r="X20" s="94" t="str">
        <f>IF(N20&lt;&gt;"","x","")</f>
        <v/>
      </c>
      <c r="Y20" s="101" t="str">
        <f>IF(X20="x","S-Bahn AB","")</f>
        <v/>
      </c>
      <c r="Z20" s="103" t="str">
        <f>IF(X20="x",Z18+1,"")</f>
        <v/>
      </c>
      <c r="AA20" s="101" t="str">
        <f>IF(X20="x","IC AN","")</f>
        <v/>
      </c>
      <c r="AB20" s="104" t="str">
        <f>IF(X20="x",AB18+1,"")</f>
        <v/>
      </c>
    </row>
    <row r="21" spans="1:28" x14ac:dyDescent="0.25">
      <c r="A21" s="52"/>
      <c r="B21" s="55"/>
      <c r="C21" s="53" t="str">
        <f>IF($B21="","",VLOOKUP($B21,Haltestellen!$A:$C,2))</f>
        <v/>
      </c>
      <c r="D21" s="55"/>
      <c r="E21" s="53" t="str">
        <f>IF($D21="","",VLOOKUP($D21,Haltestellen!$A:$C,2))</f>
        <v/>
      </c>
      <c r="F21" s="52"/>
      <c r="G21" s="55"/>
      <c r="H21" s="52"/>
      <c r="I21" s="52"/>
      <c r="J21" s="57" t="str">
        <f t="shared" si="1"/>
        <v/>
      </c>
      <c r="L21" s="135"/>
      <c r="M21" s="137"/>
      <c r="N21" s="130"/>
      <c r="O21" s="95" t="str">
        <f>IF(N20="","","Relais")</f>
        <v/>
      </c>
      <c r="P21" s="96" t="str">
        <f>IF(N20="","",VLOOKUP(N20,$A:$E,4))</f>
        <v/>
      </c>
      <c r="Q21" s="96" t="str">
        <f>IF(N20="","",IF(RIGHT(P21,1)="1","V","N"))</f>
        <v/>
      </c>
      <c r="R21" s="97" t="str">
        <f>IF(N20&lt;&gt;"","x","")</f>
        <v/>
      </c>
      <c r="S21" s="100" t="str">
        <f>IF(R21="x",S19,"")</f>
        <v/>
      </c>
      <c r="T21" s="99" t="str">
        <f>IF(R21="x",T19+1,"")</f>
        <v/>
      </c>
      <c r="U21" s="100" t="str">
        <f>IF(R21="x","IC AB","")</f>
        <v/>
      </c>
      <c r="V21" s="97" t="str">
        <f>IF(R21="x",V19+1,"")</f>
        <v/>
      </c>
      <c r="W21" s="97"/>
      <c r="X21" s="97"/>
      <c r="Y21" s="97"/>
      <c r="Z21" s="99"/>
      <c r="AA21" s="97"/>
      <c r="AB21" s="98"/>
    </row>
    <row r="22" spans="1:28" x14ac:dyDescent="0.25">
      <c r="A22" s="52"/>
      <c r="B22" s="55"/>
      <c r="C22" s="53" t="str">
        <f>IF($B22="","",VLOOKUP($B22,Haltestellen!$A:$C,2))</f>
        <v/>
      </c>
      <c r="D22" s="55"/>
      <c r="E22" s="53" t="str">
        <f>IF($D22="","",VLOOKUP($D22,Haltestellen!$A:$C,2))</f>
        <v/>
      </c>
      <c r="F22" s="52"/>
      <c r="G22" s="55"/>
      <c r="H22" s="52"/>
      <c r="I22" s="52"/>
      <c r="J22" s="57" t="str">
        <f t="shared" si="1"/>
        <v/>
      </c>
      <c r="L22" s="134" t="str">
        <f>IF(N22&lt;&gt;"","S-Bahn ABF11","")</f>
        <v/>
      </c>
      <c r="M22" s="136" t="str">
        <f t="shared" ref="M22" si="2">IF(N22&lt;&gt;"","Route","")</f>
        <v/>
      </c>
      <c r="N22" s="129"/>
      <c r="O22" s="92" t="str">
        <f t="shared" ref="O22" si="3">IF(N22="","","Relais")</f>
        <v/>
      </c>
      <c r="P22" s="93" t="str">
        <f t="shared" ref="P22" si="4">IF(N22="","",VLOOKUP(N22,$A:$E,2))</f>
        <v/>
      </c>
      <c r="Q22" s="93" t="str">
        <f t="shared" ref="Q22" si="5">IF(N22="","",IF(RIGHT(P22,1)="1","V","N"))</f>
        <v/>
      </c>
      <c r="R22" s="94"/>
      <c r="S22" s="101"/>
      <c r="T22" s="94"/>
      <c r="U22" s="94"/>
      <c r="V22" s="94"/>
      <c r="W22" s="94"/>
      <c r="X22" s="94" t="str">
        <f t="shared" ref="X22" si="6">IF(N22&lt;&gt;"","x","")</f>
        <v/>
      </c>
      <c r="Y22" s="101" t="str">
        <f>IF(X22="x","S-Bahn AB","")</f>
        <v/>
      </c>
      <c r="Z22" s="103" t="str">
        <f t="shared" ref="Z22" si="7">IF(X22="x",Z20+1,"")</f>
        <v/>
      </c>
      <c r="AA22" s="101" t="str">
        <f t="shared" ref="AA22" si="8">IF(X22="x","IC AN","")</f>
        <v/>
      </c>
      <c r="AB22" s="104" t="str">
        <f t="shared" ref="AB22" si="9">IF(X22="x",AB20+1,"")</f>
        <v/>
      </c>
    </row>
    <row r="23" spans="1:28" x14ac:dyDescent="0.25">
      <c r="A23" s="52"/>
      <c r="B23" s="55"/>
      <c r="C23" s="53" t="str">
        <f>IF($B23="","",VLOOKUP($B23,Haltestellen!$A:$C,2))</f>
        <v/>
      </c>
      <c r="D23" s="55"/>
      <c r="E23" s="53" t="str">
        <f>IF($D23="","",VLOOKUP($D23,Haltestellen!$A:$C,2))</f>
        <v/>
      </c>
      <c r="F23" s="52"/>
      <c r="G23" s="55"/>
      <c r="H23" s="52"/>
      <c r="I23" s="52"/>
      <c r="J23" s="57" t="str">
        <f t="shared" si="1"/>
        <v/>
      </c>
      <c r="L23" s="135"/>
      <c r="M23" s="137"/>
      <c r="N23" s="130"/>
      <c r="O23" s="95" t="str">
        <f t="shared" ref="O23" si="10">IF(N22="","","Relais")</f>
        <v/>
      </c>
      <c r="P23" s="96" t="str">
        <f t="shared" ref="P23" si="11">IF(N22="","",VLOOKUP(N22,$A:$E,4))</f>
        <v/>
      </c>
      <c r="Q23" s="96" t="str">
        <f t="shared" ref="Q23" si="12">IF(N22="","",IF(RIGHT(P23,1)="1","V","N"))</f>
        <v/>
      </c>
      <c r="R23" s="97" t="str">
        <f t="shared" ref="R23" si="13">IF(N22&lt;&gt;"","x","")</f>
        <v/>
      </c>
      <c r="S23" s="100" t="str">
        <f t="shared" ref="S23" si="14">IF(R23="x",S21,"")</f>
        <v/>
      </c>
      <c r="T23" s="99" t="str">
        <f>IF(R23="x",T21+1,"")</f>
        <v/>
      </c>
      <c r="U23" s="100" t="str">
        <f t="shared" ref="U23" si="15">IF(R23="x","IC AB","")</f>
        <v/>
      </c>
      <c r="V23" s="97" t="str">
        <f t="shared" ref="V23" si="16">IF(R23="x",V21+1,"")</f>
        <v/>
      </c>
      <c r="W23" s="97"/>
      <c r="X23" s="97"/>
      <c r="Y23" s="97"/>
      <c r="Z23" s="99"/>
      <c r="AA23" s="97"/>
      <c r="AB23" s="98"/>
    </row>
    <row r="24" spans="1:28" x14ac:dyDescent="0.25">
      <c r="A24" s="52"/>
      <c r="B24" s="55"/>
      <c r="C24" s="53" t="str">
        <f>IF($B24="","",VLOOKUP($B24,Haltestellen!$A:$C,2))</f>
        <v/>
      </c>
      <c r="D24" s="55"/>
      <c r="E24" s="53" t="str">
        <f>IF($D24="","",VLOOKUP($D24,Haltestellen!$A:$C,2))</f>
        <v/>
      </c>
      <c r="F24" s="52"/>
      <c r="G24" s="55"/>
      <c r="H24" s="52"/>
      <c r="I24" s="52"/>
      <c r="J24" s="57" t="str">
        <f t="shared" si="1"/>
        <v/>
      </c>
      <c r="L24" s="134" t="str">
        <f>IF(N24&lt;&gt;"","S-Bahn ABF12","")</f>
        <v/>
      </c>
      <c r="M24" s="136" t="str">
        <f t="shared" ref="M24" si="17">IF(N24&lt;&gt;"","Route","")</f>
        <v/>
      </c>
      <c r="N24" s="129"/>
      <c r="O24" s="92" t="str">
        <f t="shared" ref="O24" si="18">IF(N24="","","Relais")</f>
        <v/>
      </c>
      <c r="P24" s="93" t="str">
        <f t="shared" ref="P24" si="19">IF(N24="","",VLOOKUP(N24,$A:$E,2))</f>
        <v/>
      </c>
      <c r="Q24" s="93" t="str">
        <f t="shared" ref="Q24" si="20">IF(N24="","",IF(RIGHT(P24,1)="1","V","N"))</f>
        <v/>
      </c>
      <c r="R24" s="94"/>
      <c r="S24" s="101"/>
      <c r="T24" s="94"/>
      <c r="U24" s="94"/>
      <c r="V24" s="94"/>
      <c r="W24" s="94"/>
      <c r="X24" s="94" t="str">
        <f t="shared" ref="X24" si="21">IF(N24&lt;&gt;"","x","")</f>
        <v/>
      </c>
      <c r="Y24" s="101" t="str">
        <f>IF(X24="x","S-Bahn AB","")</f>
        <v/>
      </c>
      <c r="Z24" s="103" t="str">
        <f t="shared" ref="Z24" si="22">IF(X24="x",Z22+1,"")</f>
        <v/>
      </c>
      <c r="AA24" s="101" t="str">
        <f t="shared" ref="AA24" si="23">IF(X24="x","IC AN","")</f>
        <v/>
      </c>
      <c r="AB24" s="104" t="str">
        <f t="shared" ref="AB24" si="24">IF(X24="x",AB22+1,"")</f>
        <v/>
      </c>
    </row>
    <row r="25" spans="1:28" x14ac:dyDescent="0.25">
      <c r="A25" s="52"/>
      <c r="B25" s="55"/>
      <c r="C25" s="53" t="str">
        <f>IF($B25="","",VLOOKUP($B25,Haltestellen!$A:$C,2))</f>
        <v/>
      </c>
      <c r="D25" s="55"/>
      <c r="E25" s="53" t="str">
        <f>IF($D25="","",VLOOKUP($D25,Haltestellen!$A:$C,2))</f>
        <v/>
      </c>
      <c r="F25" s="52"/>
      <c r="G25" s="55"/>
      <c r="H25" s="52"/>
      <c r="I25" s="52"/>
      <c r="J25" s="57" t="str">
        <f t="shared" si="1"/>
        <v/>
      </c>
      <c r="L25" s="135"/>
      <c r="M25" s="137"/>
      <c r="N25" s="130"/>
      <c r="O25" s="95" t="str">
        <f t="shared" ref="O25" si="25">IF(N24="","","Relais")</f>
        <v/>
      </c>
      <c r="P25" s="96" t="str">
        <f t="shared" ref="P25" si="26">IF(N24="","",VLOOKUP(N24,$A:$E,4))</f>
        <v/>
      </c>
      <c r="Q25" s="96" t="str">
        <f t="shared" ref="Q25" si="27">IF(N24="","",IF(RIGHT(P25,1)="1","V","N"))</f>
        <v/>
      </c>
      <c r="R25" s="97" t="str">
        <f t="shared" ref="R25" si="28">IF(N24&lt;&gt;"","x","")</f>
        <v/>
      </c>
      <c r="S25" s="100" t="str">
        <f t="shared" ref="S25" si="29">IF(R25="x",S23,"")</f>
        <v/>
      </c>
      <c r="T25" s="99" t="str">
        <f>IF(R25="x",T23+1,"")</f>
        <v/>
      </c>
      <c r="U25" s="100" t="str">
        <f t="shared" ref="U25" si="30">IF(R25="x","IC AB","")</f>
        <v/>
      </c>
      <c r="V25" s="97" t="str">
        <f t="shared" ref="V25" si="31">IF(R25="x",V23+1,"")</f>
        <v/>
      </c>
      <c r="W25" s="97"/>
      <c r="X25" s="97"/>
      <c r="Y25" s="97"/>
      <c r="Z25" s="99"/>
      <c r="AA25" s="97"/>
      <c r="AB25" s="98"/>
    </row>
    <row r="26" spans="1:28" x14ac:dyDescent="0.25">
      <c r="A26" s="52"/>
      <c r="B26" s="55"/>
      <c r="C26" s="53" t="str">
        <f>IF($B26="","",VLOOKUP($B26,Haltestellen!$A:$C,2))</f>
        <v/>
      </c>
      <c r="D26" s="55"/>
      <c r="E26" s="53" t="str">
        <f>IF($D26="","",VLOOKUP($D26,Haltestellen!$A:$C,2))</f>
        <v/>
      </c>
      <c r="F26" s="52"/>
      <c r="G26" s="55"/>
      <c r="H26" s="52"/>
      <c r="I26" s="52"/>
      <c r="J26" s="57" t="str">
        <f t="shared" si="1"/>
        <v/>
      </c>
      <c r="L26" s="134" t="str">
        <f>IF(N26&lt;&gt;"","S-Bahn ABF13","")</f>
        <v/>
      </c>
      <c r="M26" s="136" t="str">
        <f t="shared" ref="M26" si="32">IF(N26&lt;&gt;"","Route","")</f>
        <v/>
      </c>
      <c r="N26" s="129"/>
      <c r="O26" s="92" t="str">
        <f t="shared" ref="O26" si="33">IF(N26="","","Relais")</f>
        <v/>
      </c>
      <c r="P26" s="93" t="str">
        <f t="shared" ref="P26" si="34">IF(N26="","",VLOOKUP(N26,$A:$E,2))</f>
        <v/>
      </c>
      <c r="Q26" s="93" t="str">
        <f t="shared" ref="Q26" si="35">IF(N26="","",IF(RIGHT(P26,1)="1","V","N"))</f>
        <v/>
      </c>
      <c r="R26" s="94"/>
      <c r="S26" s="101"/>
      <c r="T26" s="94"/>
      <c r="U26" s="94"/>
      <c r="V26" s="94"/>
      <c r="W26" s="94"/>
      <c r="X26" s="94" t="str">
        <f t="shared" ref="X26" si="36">IF(N26&lt;&gt;"","x","")</f>
        <v/>
      </c>
      <c r="Y26" s="101" t="str">
        <f>IF(X26="x","S-Bahn AB","")</f>
        <v/>
      </c>
      <c r="Z26" s="103" t="str">
        <f t="shared" ref="Z26" si="37">IF(X26="x",Z24+1,"")</f>
        <v/>
      </c>
      <c r="AA26" s="101" t="str">
        <f t="shared" ref="AA26" si="38">IF(X26="x","IC AN","")</f>
        <v/>
      </c>
      <c r="AB26" s="104" t="str">
        <f t="shared" ref="AB26" si="39">IF(X26="x",AB24+1,"")</f>
        <v/>
      </c>
    </row>
    <row r="27" spans="1:28" x14ac:dyDescent="0.25">
      <c r="A27" s="52"/>
      <c r="B27" s="55"/>
      <c r="C27" s="53" t="str">
        <f>IF($B27="","",VLOOKUP($B27,Haltestellen!$A:$C,2))</f>
        <v/>
      </c>
      <c r="D27" s="55"/>
      <c r="E27" s="53" t="str">
        <f>IF($D27="","",VLOOKUP($D27,Haltestellen!$A:$C,2))</f>
        <v/>
      </c>
      <c r="F27" s="52"/>
      <c r="G27" s="55"/>
      <c r="H27" s="52"/>
      <c r="I27" s="52"/>
      <c r="J27" s="57" t="str">
        <f t="shared" si="1"/>
        <v/>
      </c>
      <c r="L27" s="135"/>
      <c r="M27" s="137"/>
      <c r="N27" s="130"/>
      <c r="O27" s="95" t="str">
        <f t="shared" ref="O27" si="40">IF(N26="","","Relais")</f>
        <v/>
      </c>
      <c r="P27" s="96" t="str">
        <f t="shared" ref="P27" si="41">IF(N26="","",VLOOKUP(N26,$A:$E,4))</f>
        <v/>
      </c>
      <c r="Q27" s="96" t="str">
        <f t="shared" ref="Q27" si="42">IF(N26="","",IF(RIGHT(P27,1)="1","V","N"))</f>
        <v/>
      </c>
      <c r="R27" s="97" t="str">
        <f t="shared" ref="R27" si="43">IF(N26&lt;&gt;"","x","")</f>
        <v/>
      </c>
      <c r="S27" s="100" t="str">
        <f t="shared" ref="S27" si="44">IF(R27="x",S25,"")</f>
        <v/>
      </c>
      <c r="T27" s="99" t="str">
        <f>IF(R27="x",T25+1,"")</f>
        <v/>
      </c>
      <c r="U27" s="100" t="str">
        <f t="shared" ref="U27" si="45">IF(R27="x","IC AB","")</f>
        <v/>
      </c>
      <c r="V27" s="97" t="str">
        <f t="shared" ref="V27" si="46">IF(R27="x",V25+1,"")</f>
        <v/>
      </c>
      <c r="W27" s="97"/>
      <c r="X27" s="97"/>
      <c r="Y27" s="97"/>
      <c r="Z27" s="99"/>
      <c r="AA27" s="97"/>
      <c r="AB27" s="98"/>
    </row>
    <row r="28" spans="1:28" x14ac:dyDescent="0.25">
      <c r="A28" s="52"/>
      <c r="B28" s="55"/>
      <c r="C28" s="53" t="str">
        <f>IF($B28="","",VLOOKUP($B28,Haltestellen!$A:$C,2))</f>
        <v/>
      </c>
      <c r="D28" s="55"/>
      <c r="E28" s="53" t="str">
        <f>IF($D28="","",VLOOKUP($D28,Haltestellen!$A:$C,2))</f>
        <v/>
      </c>
      <c r="F28" s="52"/>
      <c r="G28" s="55"/>
      <c r="H28" s="52"/>
      <c r="I28" s="52"/>
      <c r="J28" s="57" t="str">
        <f t="shared" si="1"/>
        <v/>
      </c>
      <c r="P28" s="125"/>
    </row>
    <row r="29" spans="1:28" x14ac:dyDescent="0.25">
      <c r="A29" s="52"/>
      <c r="B29" s="55"/>
      <c r="C29" s="53" t="str">
        <f>IF($B29="","",VLOOKUP($B29,Haltestellen!$A:$C,2))</f>
        <v/>
      </c>
      <c r="D29" s="55"/>
      <c r="E29" s="53" t="str">
        <f>IF($D29="","",VLOOKUP($D29,Haltestellen!$A:$C,2))</f>
        <v/>
      </c>
      <c r="F29" s="52"/>
      <c r="G29" s="55"/>
      <c r="H29" s="52"/>
      <c r="I29" s="52"/>
      <c r="J29" s="57" t="str">
        <f t="shared" si="1"/>
        <v/>
      </c>
    </row>
    <row r="30" spans="1:28" x14ac:dyDescent="0.25">
      <c r="A30" s="52"/>
      <c r="B30" s="55"/>
      <c r="C30" s="53" t="str">
        <f>IF($B30="","",VLOOKUP($B30,Haltestellen!$A:$C,2))</f>
        <v/>
      </c>
      <c r="D30" s="55"/>
      <c r="E30" s="53" t="str">
        <f>IF($D30="","",VLOOKUP($D30,Haltestellen!$A:$C,2))</f>
        <v/>
      </c>
      <c r="F30" s="52"/>
      <c r="G30" s="55"/>
      <c r="H30" s="52"/>
      <c r="I30" s="52"/>
      <c r="J30" s="57" t="str">
        <f t="shared" si="1"/>
        <v/>
      </c>
    </row>
    <row r="31" spans="1:28" x14ac:dyDescent="0.25">
      <c r="A31" s="52"/>
      <c r="B31" s="55"/>
      <c r="C31" s="53" t="str">
        <f>IF($B31="","",VLOOKUP($B31,Haltestellen!$A:$C,2))</f>
        <v/>
      </c>
      <c r="D31" s="55"/>
      <c r="E31" s="53" t="str">
        <f>IF($D31="","",VLOOKUP($D31,Haltestellen!$A:$C,2))</f>
        <v/>
      </c>
      <c r="F31" s="52"/>
      <c r="G31" s="55"/>
      <c r="H31" s="52"/>
      <c r="I31" s="52"/>
      <c r="J31" s="57" t="str">
        <f t="shared" si="1"/>
        <v/>
      </c>
    </row>
    <row r="32" spans="1:28" x14ac:dyDescent="0.25">
      <c r="A32" s="52"/>
      <c r="B32" s="55"/>
      <c r="C32" s="53" t="str">
        <f>IF($B32="","",VLOOKUP($B32,Haltestellen!$A:$C,2))</f>
        <v/>
      </c>
      <c r="D32" s="55"/>
      <c r="E32" s="53" t="str">
        <f>IF($D32="","",VLOOKUP($D32,Haltestellen!$A:$C,2))</f>
        <v/>
      </c>
      <c r="F32" s="52"/>
      <c r="G32" s="55"/>
      <c r="H32" s="52"/>
      <c r="I32" s="52"/>
      <c r="J32" s="57" t="str">
        <f t="shared" si="1"/>
        <v/>
      </c>
    </row>
    <row r="33" spans="1:10" x14ac:dyDescent="0.25">
      <c r="A33" s="52"/>
      <c r="B33" s="55"/>
      <c r="C33" s="53" t="str">
        <f>IF($B33="","",VLOOKUP($B33,Haltestellen!$A:$C,2))</f>
        <v/>
      </c>
      <c r="D33" s="55"/>
      <c r="E33" s="53" t="str">
        <f>IF($D33="","",VLOOKUP($D33,Haltestellen!$A:$C,2))</f>
        <v/>
      </c>
      <c r="F33" s="52"/>
      <c r="G33" s="55"/>
      <c r="H33" s="52"/>
      <c r="I33" s="52"/>
      <c r="J33" s="57" t="str">
        <f t="shared" si="1"/>
        <v/>
      </c>
    </row>
    <row r="34" spans="1:10" x14ac:dyDescent="0.25">
      <c r="A34" s="52"/>
      <c r="B34" s="55"/>
      <c r="C34" s="53" t="str">
        <f>IF($B34="","",VLOOKUP($B34,Haltestellen!$A:$C,2))</f>
        <v/>
      </c>
      <c r="D34" s="55"/>
      <c r="E34" s="53" t="str">
        <f>IF($D34="","",VLOOKUP($D34,Haltestellen!$A:$C,2))</f>
        <v/>
      </c>
      <c r="F34" s="52"/>
      <c r="G34" s="55"/>
      <c r="H34" s="52"/>
      <c r="I34" s="52"/>
      <c r="J34" s="57" t="str">
        <f t="shared" si="1"/>
        <v/>
      </c>
    </row>
    <row r="35" spans="1:10" x14ac:dyDescent="0.25">
      <c r="A35" s="52"/>
      <c r="B35" s="55"/>
      <c r="C35" s="53" t="str">
        <f>IF($B35="","",VLOOKUP($B35,Haltestellen!$A:$C,2))</f>
        <v/>
      </c>
      <c r="D35" s="55"/>
      <c r="E35" s="53" t="str">
        <f>IF($D35="","",VLOOKUP($D35,Haltestellen!$A:$C,2))</f>
        <v/>
      </c>
      <c r="F35" s="52"/>
      <c r="G35" s="55"/>
      <c r="H35" s="52"/>
      <c r="I35" s="52"/>
      <c r="J35" s="57" t="str">
        <f t="shared" si="1"/>
        <v/>
      </c>
    </row>
    <row r="36" spans="1:10" x14ac:dyDescent="0.25">
      <c r="A36" s="52"/>
      <c r="B36" s="55"/>
      <c r="C36" s="53" t="str">
        <f>IF($B36="","",VLOOKUP($B36,Haltestellen!$A:$C,2))</f>
        <v/>
      </c>
      <c r="D36" s="55"/>
      <c r="E36" s="53" t="str">
        <f>IF($D36="","",VLOOKUP($D36,Haltestellen!$A:$C,2))</f>
        <v/>
      </c>
      <c r="F36" s="52"/>
      <c r="G36" s="55"/>
      <c r="H36" s="52"/>
      <c r="I36" s="52"/>
      <c r="J36" s="57" t="str">
        <f t="shared" si="1"/>
        <v/>
      </c>
    </row>
    <row r="37" spans="1:10" x14ac:dyDescent="0.25">
      <c r="A37" s="52"/>
      <c r="B37" s="55"/>
      <c r="C37" s="53" t="str">
        <f>IF($B37="","",VLOOKUP($B37,Haltestellen!$A:$C,2))</f>
        <v/>
      </c>
      <c r="D37" s="55"/>
      <c r="E37" s="53" t="str">
        <f>IF($D37="","",VLOOKUP($D37,Haltestellen!$A:$C,2))</f>
        <v/>
      </c>
      <c r="F37" s="52"/>
      <c r="G37" s="55"/>
      <c r="H37" s="52"/>
      <c r="I37" s="52"/>
      <c r="J37" s="57" t="str">
        <f t="shared" si="1"/>
        <v/>
      </c>
    </row>
    <row r="38" spans="1:10" x14ac:dyDescent="0.25">
      <c r="A38" s="52"/>
      <c r="B38" s="55"/>
      <c r="C38" s="53" t="str">
        <f>IF($B38="","",VLOOKUP($B38,Haltestellen!$A:$C,2))</f>
        <v/>
      </c>
      <c r="D38" s="55"/>
      <c r="E38" s="53" t="str">
        <f>IF($D38="","",VLOOKUP($D38,Haltestellen!$A:$C,2))</f>
        <v/>
      </c>
      <c r="F38" s="52"/>
      <c r="G38" s="55"/>
      <c r="H38" s="52"/>
      <c r="I38" s="52"/>
      <c r="J38" s="57" t="str">
        <f t="shared" si="1"/>
        <v/>
      </c>
    </row>
    <row r="45" spans="1:10" x14ac:dyDescent="0.25">
      <c r="B45" s="59" t="e">
        <f>MAX(#REF!)</f>
        <v>#REF!</v>
      </c>
    </row>
    <row r="46" spans="1:10" x14ac:dyDescent="0.25">
      <c r="B46" s="59" t="e">
        <f>MIN(#REF!)</f>
        <v>#REF!</v>
      </c>
    </row>
    <row r="47" spans="1:10" x14ac:dyDescent="0.25">
      <c r="B47" s="59" t="e">
        <f>MEDIAN(#REF!)</f>
        <v>#REF!</v>
      </c>
    </row>
  </sheetData>
  <autoFilter ref="B1:E47" xr:uid="{D4DC7ACD-2537-4F70-9140-749F8DEADD91}"/>
  <mergeCells count="45">
    <mergeCell ref="L26:L27"/>
    <mergeCell ref="M26:M27"/>
    <mergeCell ref="N26:N27"/>
    <mergeCell ref="L22:L23"/>
    <mergeCell ref="M22:M23"/>
    <mergeCell ref="N22:N23"/>
    <mergeCell ref="L24:L25"/>
    <mergeCell ref="M24:M25"/>
    <mergeCell ref="N24:N25"/>
    <mergeCell ref="AA1:AB1"/>
    <mergeCell ref="M1:N1"/>
    <mergeCell ref="P1:Q1"/>
    <mergeCell ref="S1:T1"/>
    <mergeCell ref="U1:V1"/>
    <mergeCell ref="Y1:Z1"/>
    <mergeCell ref="L2:L3"/>
    <mergeCell ref="M2:M3"/>
    <mergeCell ref="N2:N3"/>
    <mergeCell ref="L4:L5"/>
    <mergeCell ref="M4:M5"/>
    <mergeCell ref="N4:N5"/>
    <mergeCell ref="L6:L7"/>
    <mergeCell ref="M6:M7"/>
    <mergeCell ref="N6:N7"/>
    <mergeCell ref="L8:L9"/>
    <mergeCell ref="M8:M9"/>
    <mergeCell ref="N8:N9"/>
    <mergeCell ref="L10:L11"/>
    <mergeCell ref="M10:M11"/>
    <mergeCell ref="N10:N11"/>
    <mergeCell ref="L12:L13"/>
    <mergeCell ref="M12:M13"/>
    <mergeCell ref="N12:N13"/>
    <mergeCell ref="L14:L15"/>
    <mergeCell ref="M14:M15"/>
    <mergeCell ref="N14:N15"/>
    <mergeCell ref="L16:L17"/>
    <mergeCell ref="M16:M17"/>
    <mergeCell ref="N16:N17"/>
    <mergeCell ref="L18:L19"/>
    <mergeCell ref="M18:M19"/>
    <mergeCell ref="N18:N19"/>
    <mergeCell ref="L20:L21"/>
    <mergeCell ref="M20:M21"/>
    <mergeCell ref="N20:N21"/>
  </mergeCells>
  <conditionalFormatting sqref="Y2:Z3 Y28:Z1048576 Y1">
    <cfRule type="cellIs" dxfId="468" priority="151" operator="notEqual">
      <formula>""</formula>
    </cfRule>
  </conditionalFormatting>
  <conditionalFormatting sqref="U2:V3 U28:V1048576 U1">
    <cfRule type="cellIs" dxfId="467" priority="150" operator="notEqual">
      <formula>""</formula>
    </cfRule>
  </conditionalFormatting>
  <conditionalFormatting sqref="S2:T3 S28:T1048576 S1">
    <cfRule type="cellIs" dxfId="466" priority="149" operator="notEqual">
      <formula>""</formula>
    </cfRule>
  </conditionalFormatting>
  <conditionalFormatting sqref="X2">
    <cfRule type="cellIs" dxfId="465" priority="148" operator="equal">
      <formula>"x"</formula>
    </cfRule>
  </conditionalFormatting>
  <conditionalFormatting sqref="X1:X3 X28:X1048576">
    <cfRule type="cellIs" dxfId="464" priority="147" operator="equal">
      <formula>"x"</formula>
    </cfRule>
  </conditionalFormatting>
  <conditionalFormatting sqref="AA2:AB3 AA28:AB1048576 AA1">
    <cfRule type="cellIs" dxfId="463" priority="146" operator="notEqual">
      <formula>""</formula>
    </cfRule>
  </conditionalFormatting>
  <conditionalFormatting sqref="X20:X27">
    <cfRule type="cellIs" dxfId="462" priority="84" operator="equal">
      <formula>"x"</formula>
    </cfRule>
  </conditionalFormatting>
  <conditionalFormatting sqref="AA21:AB21 AA23:AB23 AA25:AB25 AA27:AB27">
    <cfRule type="cellIs" dxfId="461" priority="83" operator="notEqual">
      <formula>""</formula>
    </cfRule>
  </conditionalFormatting>
  <conditionalFormatting sqref="R1:R3 R28:R1048576">
    <cfRule type="cellIs" dxfId="460" priority="145" operator="equal">
      <formula>"x"</formula>
    </cfRule>
  </conditionalFormatting>
  <conditionalFormatting sqref="Y5:Z5 Z4">
    <cfRule type="cellIs" dxfId="459" priority="144" operator="notEqual">
      <formula>""</formula>
    </cfRule>
  </conditionalFormatting>
  <conditionalFormatting sqref="U4:V4 V5">
    <cfRule type="cellIs" dxfId="458" priority="143" operator="notEqual">
      <formula>""</formula>
    </cfRule>
  </conditionalFormatting>
  <conditionalFormatting sqref="S4:T4 S5">
    <cfRule type="cellIs" dxfId="457" priority="142" operator="notEqual">
      <formula>""</formula>
    </cfRule>
  </conditionalFormatting>
  <conditionalFormatting sqref="X4">
    <cfRule type="cellIs" dxfId="456" priority="141" operator="equal">
      <formula>"x"</formula>
    </cfRule>
  </conditionalFormatting>
  <conditionalFormatting sqref="X4:X5">
    <cfRule type="cellIs" dxfId="455" priority="140" operator="equal">
      <formula>"x"</formula>
    </cfRule>
  </conditionalFormatting>
  <conditionalFormatting sqref="AA5:AB5 AB4">
    <cfRule type="cellIs" dxfId="454" priority="139" operator="notEqual">
      <formula>""</formula>
    </cfRule>
  </conditionalFormatting>
  <conditionalFormatting sqref="R4:R5">
    <cfRule type="cellIs" dxfId="453" priority="138" operator="equal">
      <formula>"x"</formula>
    </cfRule>
  </conditionalFormatting>
  <conditionalFormatting sqref="Y7:Z7">
    <cfRule type="cellIs" dxfId="452" priority="137" operator="notEqual">
      <formula>""</formula>
    </cfRule>
  </conditionalFormatting>
  <conditionalFormatting sqref="U6:V6">
    <cfRule type="cellIs" dxfId="451" priority="136" operator="notEqual">
      <formula>""</formula>
    </cfRule>
  </conditionalFormatting>
  <conditionalFormatting sqref="S6:T6">
    <cfRule type="cellIs" dxfId="450" priority="135" operator="notEqual">
      <formula>""</formula>
    </cfRule>
  </conditionalFormatting>
  <conditionalFormatting sqref="X6">
    <cfRule type="cellIs" dxfId="449" priority="134" operator="equal">
      <formula>"x"</formula>
    </cfRule>
  </conditionalFormatting>
  <conditionalFormatting sqref="X6:X7">
    <cfRule type="cellIs" dxfId="448" priority="133" operator="equal">
      <formula>"x"</formula>
    </cfRule>
  </conditionalFormatting>
  <conditionalFormatting sqref="AA7:AB7">
    <cfRule type="cellIs" dxfId="447" priority="132" operator="notEqual">
      <formula>""</formula>
    </cfRule>
  </conditionalFormatting>
  <conditionalFormatting sqref="R6:R7">
    <cfRule type="cellIs" dxfId="446" priority="131" operator="equal">
      <formula>"x"</formula>
    </cfRule>
  </conditionalFormatting>
  <conditionalFormatting sqref="Y9:Z9">
    <cfRule type="cellIs" dxfId="445" priority="130" operator="notEqual">
      <formula>""</formula>
    </cfRule>
  </conditionalFormatting>
  <conditionalFormatting sqref="U8:V8">
    <cfRule type="cellIs" dxfId="444" priority="129" operator="notEqual">
      <formula>""</formula>
    </cfRule>
  </conditionalFormatting>
  <conditionalFormatting sqref="S8:T8">
    <cfRule type="cellIs" dxfId="443" priority="128" operator="notEqual">
      <formula>""</formula>
    </cfRule>
  </conditionalFormatting>
  <conditionalFormatting sqref="X8">
    <cfRule type="cellIs" dxfId="442" priority="127" operator="equal">
      <formula>"x"</formula>
    </cfRule>
  </conditionalFormatting>
  <conditionalFormatting sqref="X8:X9">
    <cfRule type="cellIs" dxfId="441" priority="126" operator="equal">
      <formula>"x"</formula>
    </cfRule>
  </conditionalFormatting>
  <conditionalFormatting sqref="AA9:AB9">
    <cfRule type="cellIs" dxfId="440" priority="125" operator="notEqual">
      <formula>""</formula>
    </cfRule>
  </conditionalFormatting>
  <conditionalFormatting sqref="R8:R9">
    <cfRule type="cellIs" dxfId="439" priority="124" operator="equal">
      <formula>"x"</formula>
    </cfRule>
  </conditionalFormatting>
  <conditionalFormatting sqref="Y11:Z11">
    <cfRule type="cellIs" dxfId="438" priority="123" operator="notEqual">
      <formula>""</formula>
    </cfRule>
  </conditionalFormatting>
  <conditionalFormatting sqref="U10:V10">
    <cfRule type="cellIs" dxfId="437" priority="122" operator="notEqual">
      <formula>""</formula>
    </cfRule>
  </conditionalFormatting>
  <conditionalFormatting sqref="S10:T10">
    <cfRule type="cellIs" dxfId="436" priority="121" operator="notEqual">
      <formula>""</formula>
    </cfRule>
  </conditionalFormatting>
  <conditionalFormatting sqref="X10">
    <cfRule type="cellIs" dxfId="435" priority="120" operator="equal">
      <formula>"x"</formula>
    </cfRule>
  </conditionalFormatting>
  <conditionalFormatting sqref="X10:X11">
    <cfRule type="cellIs" dxfId="434" priority="119" operator="equal">
      <formula>"x"</formula>
    </cfRule>
  </conditionalFormatting>
  <conditionalFormatting sqref="AA11:AB11">
    <cfRule type="cellIs" dxfId="433" priority="118" operator="notEqual">
      <formula>""</formula>
    </cfRule>
  </conditionalFormatting>
  <conditionalFormatting sqref="R10:R11">
    <cfRule type="cellIs" dxfId="432" priority="117" operator="equal">
      <formula>"x"</formula>
    </cfRule>
  </conditionalFormatting>
  <conditionalFormatting sqref="Y13:Z13">
    <cfRule type="cellIs" dxfId="431" priority="116" operator="notEqual">
      <formula>""</formula>
    </cfRule>
  </conditionalFormatting>
  <conditionalFormatting sqref="U12:V12">
    <cfRule type="cellIs" dxfId="430" priority="115" operator="notEqual">
      <formula>""</formula>
    </cfRule>
  </conditionalFormatting>
  <conditionalFormatting sqref="S12:T12">
    <cfRule type="cellIs" dxfId="429" priority="114" operator="notEqual">
      <formula>""</formula>
    </cfRule>
  </conditionalFormatting>
  <conditionalFormatting sqref="X12">
    <cfRule type="cellIs" dxfId="428" priority="113" operator="equal">
      <formula>"x"</formula>
    </cfRule>
  </conditionalFormatting>
  <conditionalFormatting sqref="X12:X13">
    <cfRule type="cellIs" dxfId="427" priority="112" operator="equal">
      <formula>"x"</formula>
    </cfRule>
  </conditionalFormatting>
  <conditionalFormatting sqref="AA13:AB13">
    <cfRule type="cellIs" dxfId="426" priority="111" operator="notEqual">
      <formula>""</formula>
    </cfRule>
  </conditionalFormatting>
  <conditionalFormatting sqref="R12:R13">
    <cfRule type="cellIs" dxfId="425" priority="110" operator="equal">
      <formula>"x"</formula>
    </cfRule>
  </conditionalFormatting>
  <conditionalFormatting sqref="Y15:Z15">
    <cfRule type="cellIs" dxfId="424" priority="109" operator="notEqual">
      <formula>""</formula>
    </cfRule>
  </conditionalFormatting>
  <conditionalFormatting sqref="U14:V14">
    <cfRule type="cellIs" dxfId="423" priority="108" operator="notEqual">
      <formula>""</formula>
    </cfRule>
  </conditionalFormatting>
  <conditionalFormatting sqref="S14:T14">
    <cfRule type="cellIs" dxfId="422" priority="107" operator="notEqual">
      <formula>""</formula>
    </cfRule>
  </conditionalFormatting>
  <conditionalFormatting sqref="X14">
    <cfRule type="cellIs" dxfId="421" priority="106" operator="equal">
      <formula>"x"</formula>
    </cfRule>
  </conditionalFormatting>
  <conditionalFormatting sqref="X14:X15">
    <cfRule type="cellIs" dxfId="420" priority="105" operator="equal">
      <formula>"x"</formula>
    </cfRule>
  </conditionalFormatting>
  <conditionalFormatting sqref="AA15:AB15">
    <cfRule type="cellIs" dxfId="419" priority="104" operator="notEqual">
      <formula>""</formula>
    </cfRule>
  </conditionalFormatting>
  <conditionalFormatting sqref="R14:R15">
    <cfRule type="cellIs" dxfId="418" priority="103" operator="equal">
      <formula>"x"</formula>
    </cfRule>
  </conditionalFormatting>
  <conditionalFormatting sqref="Y17:Z17">
    <cfRule type="cellIs" dxfId="417" priority="102" operator="notEqual">
      <formula>""</formula>
    </cfRule>
  </conditionalFormatting>
  <conditionalFormatting sqref="U16:V16">
    <cfRule type="cellIs" dxfId="416" priority="101" operator="notEqual">
      <formula>""</formula>
    </cfRule>
  </conditionalFormatting>
  <conditionalFormatting sqref="S16:T16">
    <cfRule type="cellIs" dxfId="415" priority="100" operator="notEqual">
      <formula>""</formula>
    </cfRule>
  </conditionalFormatting>
  <conditionalFormatting sqref="X16">
    <cfRule type="cellIs" dxfId="414" priority="99" operator="equal">
      <formula>"x"</formula>
    </cfRule>
  </conditionalFormatting>
  <conditionalFormatting sqref="X16:X17">
    <cfRule type="cellIs" dxfId="413" priority="98" operator="equal">
      <formula>"x"</formula>
    </cfRule>
  </conditionalFormatting>
  <conditionalFormatting sqref="AA17:AB17">
    <cfRule type="cellIs" dxfId="412" priority="97" operator="notEqual">
      <formula>""</formula>
    </cfRule>
  </conditionalFormatting>
  <conditionalFormatting sqref="R16:R17">
    <cfRule type="cellIs" dxfId="411" priority="96" operator="equal">
      <formula>"x"</formula>
    </cfRule>
  </conditionalFormatting>
  <conditionalFormatting sqref="Y19:Z19">
    <cfRule type="cellIs" dxfId="410" priority="95" operator="notEqual">
      <formula>""</formula>
    </cfRule>
  </conditionalFormatting>
  <conditionalFormatting sqref="U18:V18">
    <cfRule type="cellIs" dxfId="409" priority="94" operator="notEqual">
      <formula>""</formula>
    </cfRule>
  </conditionalFormatting>
  <conditionalFormatting sqref="S18:T18">
    <cfRule type="cellIs" dxfId="408" priority="93" operator="notEqual">
      <formula>""</formula>
    </cfRule>
  </conditionalFormatting>
  <conditionalFormatting sqref="X18">
    <cfRule type="cellIs" dxfId="407" priority="92" operator="equal">
      <formula>"x"</formula>
    </cfRule>
  </conditionalFormatting>
  <conditionalFormatting sqref="X18:X19">
    <cfRule type="cellIs" dxfId="406" priority="91" operator="equal">
      <formula>"x"</formula>
    </cfRule>
  </conditionalFormatting>
  <conditionalFormatting sqref="AA19:AB19">
    <cfRule type="cellIs" dxfId="405" priority="90" operator="notEqual">
      <formula>""</formula>
    </cfRule>
  </conditionalFormatting>
  <conditionalFormatting sqref="R18:R19">
    <cfRule type="cellIs" dxfId="404" priority="89" operator="equal">
      <formula>"x"</formula>
    </cfRule>
  </conditionalFormatting>
  <conditionalFormatting sqref="Y21:Z21 Y23:Z23 Y25:Z25 Y27:Z27">
    <cfRule type="cellIs" dxfId="403" priority="88" operator="notEqual">
      <formula>""</formula>
    </cfRule>
  </conditionalFormatting>
  <conditionalFormatting sqref="U20:V20 U22:V22 U24:V24 U26:V26">
    <cfRule type="cellIs" dxfId="402" priority="87" operator="notEqual">
      <formula>""</formula>
    </cfRule>
  </conditionalFormatting>
  <conditionalFormatting sqref="S20:T20 S22:T22 S24:T24 S26:T26">
    <cfRule type="cellIs" dxfId="401" priority="86" operator="notEqual">
      <formula>""</formula>
    </cfRule>
  </conditionalFormatting>
  <conditionalFormatting sqref="X20 X22 X24 X26">
    <cfRule type="cellIs" dxfId="400" priority="85" operator="equal">
      <formula>"x"</formula>
    </cfRule>
  </conditionalFormatting>
  <conditionalFormatting sqref="U19">
    <cfRule type="cellIs" dxfId="399" priority="49" operator="notEqual">
      <formula>""</formula>
    </cfRule>
  </conditionalFormatting>
  <conditionalFormatting sqref="R20:R27">
    <cfRule type="cellIs" dxfId="398" priority="82" operator="equal">
      <formula>"x"</formula>
    </cfRule>
  </conditionalFormatting>
  <conditionalFormatting sqref="T5">
    <cfRule type="cellIs" dxfId="397" priority="81" operator="notEqual">
      <formula>""</formula>
    </cfRule>
  </conditionalFormatting>
  <conditionalFormatting sqref="T7">
    <cfRule type="cellIs" dxfId="396" priority="80" operator="notEqual">
      <formula>""</formula>
    </cfRule>
  </conditionalFormatting>
  <conditionalFormatting sqref="T9">
    <cfRule type="cellIs" dxfId="395" priority="79" operator="notEqual">
      <formula>""</formula>
    </cfRule>
  </conditionalFormatting>
  <conditionalFormatting sqref="T11">
    <cfRule type="cellIs" dxfId="394" priority="78" operator="notEqual">
      <formula>""</formula>
    </cfRule>
  </conditionalFormatting>
  <conditionalFormatting sqref="T13">
    <cfRule type="cellIs" dxfId="393" priority="77" operator="notEqual">
      <formula>""</formula>
    </cfRule>
  </conditionalFormatting>
  <conditionalFormatting sqref="T15">
    <cfRule type="cellIs" dxfId="392" priority="76" operator="notEqual">
      <formula>""</formula>
    </cfRule>
  </conditionalFormatting>
  <conditionalFormatting sqref="T17">
    <cfRule type="cellIs" dxfId="391" priority="75" operator="notEqual">
      <formula>""</formula>
    </cfRule>
  </conditionalFormatting>
  <conditionalFormatting sqref="T19">
    <cfRule type="cellIs" dxfId="390" priority="74" operator="notEqual">
      <formula>""</formula>
    </cfRule>
  </conditionalFormatting>
  <conditionalFormatting sqref="T21 T23 T25 T27">
    <cfRule type="cellIs" dxfId="389" priority="73" operator="notEqual">
      <formula>""</formula>
    </cfRule>
  </conditionalFormatting>
  <conditionalFormatting sqref="S7">
    <cfRule type="cellIs" dxfId="388" priority="72" operator="notEqual">
      <formula>""</formula>
    </cfRule>
  </conditionalFormatting>
  <conditionalFormatting sqref="S9">
    <cfRule type="cellIs" dxfId="387" priority="71" operator="notEqual">
      <formula>""</formula>
    </cfRule>
  </conditionalFormatting>
  <conditionalFormatting sqref="S11">
    <cfRule type="cellIs" dxfId="386" priority="70" operator="notEqual">
      <formula>""</formula>
    </cfRule>
  </conditionalFormatting>
  <conditionalFormatting sqref="S13">
    <cfRule type="cellIs" dxfId="385" priority="69" operator="notEqual">
      <formula>""</formula>
    </cfRule>
  </conditionalFormatting>
  <conditionalFormatting sqref="S15">
    <cfRule type="cellIs" dxfId="384" priority="68" operator="notEqual">
      <formula>""</formula>
    </cfRule>
  </conditionalFormatting>
  <conditionalFormatting sqref="S17">
    <cfRule type="cellIs" dxfId="383" priority="67" operator="notEqual">
      <formula>""</formula>
    </cfRule>
  </conditionalFormatting>
  <conditionalFormatting sqref="S19">
    <cfRule type="cellIs" dxfId="382" priority="66" operator="notEqual">
      <formula>""</formula>
    </cfRule>
  </conditionalFormatting>
  <conditionalFormatting sqref="S21 S23 S25 S27">
    <cfRule type="cellIs" dxfId="381" priority="65" operator="notEqual">
      <formula>""</formula>
    </cfRule>
  </conditionalFormatting>
  <conditionalFormatting sqref="V7">
    <cfRule type="cellIs" dxfId="380" priority="64" operator="notEqual">
      <formula>""</formula>
    </cfRule>
  </conditionalFormatting>
  <conditionalFormatting sqref="V9">
    <cfRule type="cellIs" dxfId="379" priority="63" operator="notEqual">
      <formula>""</formula>
    </cfRule>
  </conditionalFormatting>
  <conditionalFormatting sqref="V11">
    <cfRule type="cellIs" dxfId="378" priority="62" operator="notEqual">
      <formula>""</formula>
    </cfRule>
  </conditionalFormatting>
  <conditionalFormatting sqref="V13">
    <cfRule type="cellIs" dxfId="377" priority="61" operator="notEqual">
      <formula>""</formula>
    </cfRule>
  </conditionalFormatting>
  <conditionalFormatting sqref="V15">
    <cfRule type="cellIs" dxfId="376" priority="60" operator="notEqual">
      <formula>""</formula>
    </cfRule>
  </conditionalFormatting>
  <conditionalFormatting sqref="V17">
    <cfRule type="cellIs" dxfId="375" priority="59" operator="notEqual">
      <formula>""</formula>
    </cfRule>
  </conditionalFormatting>
  <conditionalFormatting sqref="V19">
    <cfRule type="cellIs" dxfId="374" priority="58" operator="notEqual">
      <formula>""</formula>
    </cfRule>
  </conditionalFormatting>
  <conditionalFormatting sqref="V21 V23 V25 V27">
    <cfRule type="cellIs" dxfId="373" priority="57" operator="notEqual">
      <formula>""</formula>
    </cfRule>
  </conditionalFormatting>
  <conditionalFormatting sqref="U5">
    <cfRule type="cellIs" dxfId="372" priority="56" operator="notEqual">
      <formula>""</formula>
    </cfRule>
  </conditionalFormatting>
  <conditionalFormatting sqref="U7">
    <cfRule type="cellIs" dxfId="371" priority="55" operator="notEqual">
      <formula>""</formula>
    </cfRule>
  </conditionalFormatting>
  <conditionalFormatting sqref="U9">
    <cfRule type="cellIs" dxfId="370" priority="54" operator="notEqual">
      <formula>""</formula>
    </cfRule>
  </conditionalFormatting>
  <conditionalFormatting sqref="U11">
    <cfRule type="cellIs" dxfId="369" priority="53" operator="notEqual">
      <formula>""</formula>
    </cfRule>
  </conditionalFormatting>
  <conditionalFormatting sqref="U13">
    <cfRule type="cellIs" dxfId="368" priority="52" operator="notEqual">
      <formula>""</formula>
    </cfRule>
  </conditionalFormatting>
  <conditionalFormatting sqref="U15">
    <cfRule type="cellIs" dxfId="367" priority="51" operator="notEqual">
      <formula>""</formula>
    </cfRule>
  </conditionalFormatting>
  <conditionalFormatting sqref="U17">
    <cfRule type="cellIs" dxfId="366" priority="50" operator="notEqual">
      <formula>""</formula>
    </cfRule>
  </conditionalFormatting>
  <conditionalFormatting sqref="AA18">
    <cfRule type="cellIs" dxfId="365" priority="15" operator="notEqual">
      <formula>""</formula>
    </cfRule>
  </conditionalFormatting>
  <conditionalFormatting sqref="U21 U23 U25 U27">
    <cfRule type="cellIs" dxfId="364" priority="48" operator="notEqual">
      <formula>""</formula>
    </cfRule>
  </conditionalFormatting>
  <conditionalFormatting sqref="Z6">
    <cfRule type="cellIs" dxfId="363" priority="47" operator="notEqual">
      <formula>""</formula>
    </cfRule>
  </conditionalFormatting>
  <conditionalFormatting sqref="Z8">
    <cfRule type="cellIs" dxfId="362" priority="46" operator="notEqual">
      <formula>""</formula>
    </cfRule>
  </conditionalFormatting>
  <conditionalFormatting sqref="Z10">
    <cfRule type="cellIs" dxfId="361" priority="45" operator="notEqual">
      <formula>""</formula>
    </cfRule>
  </conditionalFormatting>
  <conditionalFormatting sqref="Z12">
    <cfRule type="cellIs" dxfId="360" priority="44" operator="notEqual">
      <formula>""</formula>
    </cfRule>
  </conditionalFormatting>
  <conditionalFormatting sqref="Z14">
    <cfRule type="cellIs" dxfId="359" priority="43" operator="notEqual">
      <formula>""</formula>
    </cfRule>
  </conditionalFormatting>
  <conditionalFormatting sqref="Z16">
    <cfRule type="cellIs" dxfId="358" priority="42" operator="notEqual">
      <formula>""</formula>
    </cfRule>
  </conditionalFormatting>
  <conditionalFormatting sqref="Z18">
    <cfRule type="cellIs" dxfId="357" priority="41" operator="notEqual">
      <formula>""</formula>
    </cfRule>
  </conditionalFormatting>
  <conditionalFormatting sqref="Z20 Z22 Z24 Z26">
    <cfRule type="cellIs" dxfId="356" priority="40" operator="notEqual">
      <formula>""</formula>
    </cfRule>
  </conditionalFormatting>
  <conditionalFormatting sqref="Y4">
    <cfRule type="cellIs" dxfId="355" priority="39" operator="notEqual">
      <formula>""</formula>
    </cfRule>
  </conditionalFormatting>
  <conditionalFormatting sqref="Y6">
    <cfRule type="cellIs" dxfId="354" priority="38" operator="notEqual">
      <formula>""</formula>
    </cfRule>
  </conditionalFormatting>
  <conditionalFormatting sqref="Y8">
    <cfRule type="cellIs" dxfId="353" priority="37" operator="notEqual">
      <formula>""</formula>
    </cfRule>
  </conditionalFormatting>
  <conditionalFormatting sqref="Y10">
    <cfRule type="cellIs" dxfId="352" priority="36" operator="notEqual">
      <formula>""</formula>
    </cfRule>
  </conditionalFormatting>
  <conditionalFormatting sqref="Y12">
    <cfRule type="cellIs" dxfId="351" priority="35" operator="notEqual">
      <formula>""</formula>
    </cfRule>
  </conditionalFormatting>
  <conditionalFormatting sqref="Y14">
    <cfRule type="cellIs" dxfId="350" priority="34" operator="notEqual">
      <formula>""</formula>
    </cfRule>
  </conditionalFormatting>
  <conditionalFormatting sqref="Y16">
    <cfRule type="cellIs" dxfId="349" priority="33" operator="notEqual">
      <formula>""</formula>
    </cfRule>
  </conditionalFormatting>
  <conditionalFormatting sqref="Y18">
    <cfRule type="cellIs" dxfId="348" priority="32" operator="notEqual">
      <formula>""</formula>
    </cfRule>
  </conditionalFormatting>
  <conditionalFormatting sqref="Y20 Y22 Y24 Y26">
    <cfRule type="cellIs" dxfId="347" priority="31" operator="notEqual">
      <formula>""</formula>
    </cfRule>
  </conditionalFormatting>
  <conditionalFormatting sqref="AB6">
    <cfRule type="cellIs" dxfId="346" priority="30" operator="notEqual">
      <formula>""</formula>
    </cfRule>
  </conditionalFormatting>
  <conditionalFormatting sqref="AB8">
    <cfRule type="cellIs" dxfId="345" priority="29" operator="notEqual">
      <formula>""</formula>
    </cfRule>
  </conditionalFormatting>
  <conditionalFormatting sqref="AB10">
    <cfRule type="cellIs" dxfId="344" priority="28" operator="notEqual">
      <formula>""</formula>
    </cfRule>
  </conditionalFormatting>
  <conditionalFormatting sqref="AB12">
    <cfRule type="cellIs" dxfId="343" priority="27" operator="notEqual">
      <formula>""</formula>
    </cfRule>
  </conditionalFormatting>
  <conditionalFormatting sqref="AB14">
    <cfRule type="cellIs" dxfId="342" priority="26" operator="notEqual">
      <formula>""</formula>
    </cfRule>
  </conditionalFormatting>
  <conditionalFormatting sqref="AB16">
    <cfRule type="cellIs" dxfId="341" priority="25" operator="notEqual">
      <formula>""</formula>
    </cfRule>
  </conditionalFormatting>
  <conditionalFormatting sqref="AB18">
    <cfRule type="cellIs" dxfId="340" priority="24" operator="notEqual">
      <formula>""</formula>
    </cfRule>
  </conditionalFormatting>
  <conditionalFormatting sqref="AB20 AB22 AB24 AB26">
    <cfRule type="cellIs" dxfId="339" priority="23" operator="notEqual">
      <formula>""</formula>
    </cfRule>
  </conditionalFormatting>
  <conditionalFormatting sqref="AA4">
    <cfRule type="cellIs" dxfId="338" priority="22" operator="notEqual">
      <formula>""</formula>
    </cfRule>
  </conditionalFormatting>
  <conditionalFormatting sqref="AA6">
    <cfRule type="cellIs" dxfId="337" priority="21" operator="notEqual">
      <formula>""</formula>
    </cfRule>
  </conditionalFormatting>
  <conditionalFormatting sqref="AA8">
    <cfRule type="cellIs" dxfId="336" priority="20" operator="notEqual">
      <formula>""</formula>
    </cfRule>
  </conditionalFormatting>
  <conditionalFormatting sqref="AA10">
    <cfRule type="cellIs" dxfId="335" priority="19" operator="notEqual">
      <formula>""</formula>
    </cfRule>
  </conditionalFormatting>
  <conditionalFormatting sqref="AA12">
    <cfRule type="cellIs" dxfId="334" priority="18" operator="notEqual">
      <formula>""</formula>
    </cfRule>
  </conditionalFormatting>
  <conditionalFormatting sqref="AA14">
    <cfRule type="cellIs" dxfId="333" priority="17" operator="notEqual">
      <formula>""</formula>
    </cfRule>
  </conditionalFormatting>
  <conditionalFormatting sqref="AA16">
    <cfRule type="cellIs" dxfId="332" priority="16" operator="notEqual">
      <formula>""</formula>
    </cfRule>
  </conditionalFormatting>
  <conditionalFormatting sqref="AA20 AA22 AA24 AA26">
    <cfRule type="cellIs" dxfId="331" priority="14" operator="notEqual">
      <formula>""</formula>
    </cfRule>
  </conditionalFormatting>
  <conditionalFormatting sqref="P4">
    <cfRule type="cellIs" dxfId="330" priority="13" operator="notEqual">
      <formula>P3</formula>
    </cfRule>
  </conditionalFormatting>
  <conditionalFormatting sqref="P6">
    <cfRule type="cellIs" dxfId="329" priority="12" operator="notEqual">
      <formula>P5</formula>
    </cfRule>
  </conditionalFormatting>
  <conditionalFormatting sqref="P8">
    <cfRule type="cellIs" dxfId="328" priority="11" operator="notEqual">
      <formula>P7</formula>
    </cfRule>
  </conditionalFormatting>
  <conditionalFormatting sqref="P10">
    <cfRule type="cellIs" dxfId="327" priority="10" operator="notEqual">
      <formula>P9</formula>
    </cfRule>
  </conditionalFormatting>
  <conditionalFormatting sqref="P12">
    <cfRule type="cellIs" dxfId="326" priority="9" operator="notEqual">
      <formula>P11</formula>
    </cfRule>
  </conditionalFormatting>
  <conditionalFormatting sqref="P14">
    <cfRule type="cellIs" dxfId="325" priority="8" operator="notEqual">
      <formula>P13</formula>
    </cfRule>
  </conditionalFormatting>
  <conditionalFormatting sqref="P16">
    <cfRule type="cellIs" dxfId="324" priority="7" operator="notEqual">
      <formula>P15</formula>
    </cfRule>
  </conditionalFormatting>
  <conditionalFormatting sqref="P18">
    <cfRule type="cellIs" dxfId="323" priority="6" operator="notEqual">
      <formula>P17</formula>
    </cfRule>
  </conditionalFormatting>
  <conditionalFormatting sqref="P20">
    <cfRule type="cellIs" dxfId="322" priority="5" operator="notEqual">
      <formula>P19</formula>
    </cfRule>
  </conditionalFormatting>
  <conditionalFormatting sqref="P22">
    <cfRule type="cellIs" dxfId="321" priority="4" operator="notEqual">
      <formula>P21</formula>
    </cfRule>
  </conditionalFormatting>
  <conditionalFormatting sqref="P24">
    <cfRule type="cellIs" dxfId="320" priority="3" operator="notEqual">
      <formula>P23</formula>
    </cfRule>
  </conditionalFormatting>
  <conditionalFormatting sqref="P26">
    <cfRule type="cellIs" dxfId="319" priority="2" operator="notEqual">
      <formula>P25</formula>
    </cfRule>
  </conditionalFormatting>
  <conditionalFormatting sqref="P28">
    <cfRule type="cellIs" dxfId="318" priority="1" operator="notEqual">
      <formula>P27</formula>
    </cfRule>
  </conditionalFormatting>
  <pageMargins left="0.70866141732283472" right="0.70866141732283472" top="0.78740157480314965" bottom="0.78740157480314965" header="0.31496062992125984" footer="0.31496062992125984"/>
  <pageSetup paperSize="9" scale="60" orientation="landscape" r:id="rId1"/>
  <headerFooter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05A05-CF66-41E3-8916-D180182D97BD}">
  <sheetPr codeName="Tabelle6">
    <tabColor theme="4" tint="0.39997558519241921"/>
  </sheetPr>
  <dimension ref="A1:AD47"/>
  <sheetViews>
    <sheetView workbookViewId="0">
      <selection activeCell="I13" sqref="I13"/>
    </sheetView>
  </sheetViews>
  <sheetFormatPr baseColWidth="10" defaultRowHeight="15" x14ac:dyDescent="0.25"/>
  <cols>
    <col min="1" max="1" width="6.28515625" style="58" bestFit="1" customWidth="1"/>
    <col min="2" max="2" width="8.42578125" bestFit="1" customWidth="1"/>
    <col min="3" max="3" width="19.42578125" bestFit="1" customWidth="1"/>
    <col min="4" max="4" width="7.7109375" bestFit="1" customWidth="1"/>
    <col min="5" max="5" width="18" bestFit="1" customWidth="1"/>
    <col min="6" max="6" width="5.5703125" style="58" bestFit="1" customWidth="1"/>
    <col min="7" max="7" width="8.28515625" style="43" bestFit="1" customWidth="1"/>
    <col min="8" max="8" width="10" style="58" bestFit="1" customWidth="1"/>
    <col min="9" max="9" width="9.28515625" style="58" bestFit="1" customWidth="1"/>
    <col min="10" max="10" width="6.28515625" style="128" bestFit="1" customWidth="1"/>
    <col min="11" max="11" width="3" bestFit="1" customWidth="1"/>
    <col min="12" max="12" width="11.85546875" bestFit="1" customWidth="1"/>
    <col min="13" max="13" width="6.28515625" bestFit="1" customWidth="1"/>
    <col min="14" max="14" width="3" bestFit="1" customWidth="1"/>
    <col min="15" max="15" width="6.28515625" style="58" bestFit="1" customWidth="1"/>
    <col min="16" max="16" width="6.5703125" bestFit="1" customWidth="1"/>
    <col min="17" max="17" width="2.42578125" bestFit="1" customWidth="1"/>
    <col min="18" max="18" width="8" style="43" bestFit="1" customWidth="1"/>
    <col min="19" max="19" width="9.140625" style="43" bestFit="1" customWidth="1"/>
    <col min="20" max="20" width="3.7109375" style="43" bestFit="1" customWidth="1"/>
    <col min="21" max="21" width="8.85546875" style="43" bestFit="1" customWidth="1"/>
    <col min="22" max="22" width="3" style="43" bestFit="1" customWidth="1"/>
    <col min="23" max="23" width="1.7109375" style="43" customWidth="1"/>
    <col min="24" max="24" width="7.7109375" style="43" bestFit="1" customWidth="1"/>
    <col min="25" max="25" width="8.85546875" style="43" bestFit="1" customWidth="1"/>
    <col min="26" max="26" width="3" style="102" bestFit="1" customWidth="1"/>
    <col min="27" max="27" width="9.140625" style="43" bestFit="1" customWidth="1"/>
    <col min="28" max="28" width="3" style="43" bestFit="1" customWidth="1"/>
    <col min="29" max="29" width="6.28515625" customWidth="1"/>
  </cols>
  <sheetData>
    <row r="1" spans="1:30" s="51" customFormat="1" x14ac:dyDescent="0.25">
      <c r="A1" s="47" t="s">
        <v>2</v>
      </c>
      <c r="B1" s="48" t="s">
        <v>31</v>
      </c>
      <c r="C1" s="48" t="s">
        <v>32</v>
      </c>
      <c r="D1" s="48" t="s">
        <v>33</v>
      </c>
      <c r="E1" s="48" t="s">
        <v>32</v>
      </c>
      <c r="F1" s="47" t="s">
        <v>5</v>
      </c>
      <c r="G1" s="85" t="s">
        <v>34</v>
      </c>
      <c r="H1" s="48" t="s">
        <v>98</v>
      </c>
      <c r="I1" s="47" t="s">
        <v>47</v>
      </c>
      <c r="J1" s="126"/>
      <c r="K1" s="50">
        <v>20</v>
      </c>
      <c r="L1" s="51" t="s">
        <v>99</v>
      </c>
      <c r="M1" s="131" t="s">
        <v>100</v>
      </c>
      <c r="N1" s="131"/>
      <c r="O1" s="89" t="s">
        <v>101</v>
      </c>
      <c r="P1" s="131" t="s">
        <v>102</v>
      </c>
      <c r="Q1" s="131"/>
      <c r="R1" s="91" t="s">
        <v>103</v>
      </c>
      <c r="S1" s="139" t="s">
        <v>105</v>
      </c>
      <c r="T1" s="139"/>
      <c r="U1" s="139" t="s">
        <v>106</v>
      </c>
      <c r="V1" s="139"/>
      <c r="W1" s="105"/>
      <c r="X1" s="90" t="s">
        <v>104</v>
      </c>
      <c r="Y1" s="140" t="s">
        <v>105</v>
      </c>
      <c r="Z1" s="140"/>
      <c r="AA1" s="138" t="s">
        <v>106</v>
      </c>
      <c r="AB1" s="138"/>
    </row>
    <row r="2" spans="1:30" x14ac:dyDescent="0.25">
      <c r="A2" s="52">
        <v>1</v>
      </c>
      <c r="B2" s="53" t="s">
        <v>48</v>
      </c>
      <c r="C2" s="53" t="str">
        <f>IF($B2="","",VLOOKUP($B2,Haltestellen!$A:$C,2))</f>
        <v>Burgstein Gl.3/N</v>
      </c>
      <c r="D2" s="53" t="s">
        <v>49</v>
      </c>
      <c r="E2" s="53" t="str">
        <f>IF($D2="","",VLOOKUP($D2,Haltestellen!$A:$C,2))</f>
        <v>Altstadt Gl.1/V</v>
      </c>
      <c r="F2" s="54">
        <v>6.2500000000000003E-3</v>
      </c>
      <c r="G2" s="86"/>
      <c r="H2" s="56">
        <v>9.7222222222222206E-3</v>
      </c>
      <c r="I2" s="56">
        <v>8.3333333333333297E-3</v>
      </c>
      <c r="J2" s="127"/>
      <c r="K2" s="88"/>
      <c r="L2" s="134" t="str">
        <f>IF(N2&lt;&gt;"","K-Zug ABF1","")</f>
        <v>K-Zug ABF1</v>
      </c>
      <c r="M2" s="136" t="str">
        <f>IF(N2&lt;&gt;"","Route","")</f>
        <v>Route</v>
      </c>
      <c r="N2" s="129">
        <v>1</v>
      </c>
      <c r="O2" s="92" t="str">
        <f>IF(N2="","","Relais")</f>
        <v>Relais</v>
      </c>
      <c r="P2" s="93" t="str">
        <f>IF(N2="","",VLOOKUP(N2,$A:$E,2))</f>
        <v>416.12</v>
      </c>
      <c r="Q2" s="93" t="str">
        <f>IF(N2="","",IF(RIGHT(P2,1)="1","V","N"))</f>
        <v>N</v>
      </c>
      <c r="R2" s="94"/>
      <c r="S2" s="101"/>
      <c r="T2" s="94"/>
      <c r="U2" s="94"/>
      <c r="V2" s="94"/>
      <c r="W2" s="94"/>
      <c r="X2" s="94" t="str">
        <f>IF(N2&lt;&gt;"","x","")</f>
        <v>x</v>
      </c>
      <c r="Y2" s="101" t="str">
        <f>IF(X2="x","K-Zug AB","")</f>
        <v>K-Zug AB</v>
      </c>
      <c r="Z2" s="103">
        <f>IF(X2="x",1,"")</f>
        <v>1</v>
      </c>
      <c r="AA2" s="101" t="str">
        <f>IF(X2="x","K-Zug AN","")</f>
        <v>K-Zug AN</v>
      </c>
      <c r="AB2" s="104">
        <f>IF(X2="x",1,"")</f>
        <v>1</v>
      </c>
      <c r="AD2" s="87"/>
    </row>
    <row r="3" spans="1:30" x14ac:dyDescent="0.25">
      <c r="A3" s="52">
        <v>2</v>
      </c>
      <c r="B3" s="55" t="s">
        <v>49</v>
      </c>
      <c r="C3" s="53" t="str">
        <f>IF($B3="","",VLOOKUP($B3,Haltestellen!$A:$C,2))</f>
        <v>Altstadt Gl.1/V</v>
      </c>
      <c r="D3" s="55" t="s">
        <v>50</v>
      </c>
      <c r="E3" s="53" t="str">
        <f>IF($D3="","",VLOOKUP($D3,Haltestellen!$A:$C,2))</f>
        <v>Altstadt Gl.1/N</v>
      </c>
      <c r="F3" s="56">
        <v>4.8611111111111103E-3</v>
      </c>
      <c r="G3" s="86"/>
      <c r="H3" s="56"/>
      <c r="I3" s="56">
        <v>8.3333333333333297E-3</v>
      </c>
      <c r="J3" s="127"/>
      <c r="L3" s="135"/>
      <c r="M3" s="137"/>
      <c r="N3" s="130"/>
      <c r="O3" s="95" t="str">
        <f>IF(N2="","","Relais")</f>
        <v>Relais</v>
      </c>
      <c r="P3" s="96" t="str">
        <f>IF(N2="","",VLOOKUP(N2,$A:$E,4))</f>
        <v>111.11</v>
      </c>
      <c r="Q3" s="96" t="str">
        <f>IF(N2="","",IF(RIGHT(P3,1)="1","V","N"))</f>
        <v>V</v>
      </c>
      <c r="R3" s="97" t="str">
        <f>IF(N2&lt;&gt;"","x","")</f>
        <v>x</v>
      </c>
      <c r="S3" s="100" t="str">
        <f>IF(R3="x","K-Zug AN")</f>
        <v>K-Zug AN</v>
      </c>
      <c r="T3" s="99">
        <v>2</v>
      </c>
      <c r="U3" s="100" t="str">
        <f>IF(R3="x","K-Zug AB","")</f>
        <v>K-Zug AB</v>
      </c>
      <c r="V3" s="97">
        <v>1</v>
      </c>
      <c r="W3" s="97"/>
      <c r="X3" s="97"/>
      <c r="Y3" s="97"/>
      <c r="Z3" s="99"/>
      <c r="AA3" s="97"/>
      <c r="AB3" s="98"/>
    </row>
    <row r="4" spans="1:30" x14ac:dyDescent="0.25">
      <c r="A4" s="52">
        <v>3</v>
      </c>
      <c r="B4" s="55" t="s">
        <v>50</v>
      </c>
      <c r="C4" s="53" t="str">
        <f>IF($B4="","",VLOOKUP($B4,Haltestellen!$A:$C,2))</f>
        <v>Altstadt Gl.1/N</v>
      </c>
      <c r="D4" s="55" t="s">
        <v>51</v>
      </c>
      <c r="E4" s="53" t="str">
        <f>IF($D4="","",VLOOKUP($D4,Haltestellen!$A:$C,2))</f>
        <v>Weisenborn Gl.1/N</v>
      </c>
      <c r="F4" s="56">
        <v>6.9444444444444397E-3</v>
      </c>
      <c r="G4" s="86"/>
      <c r="H4" s="56"/>
      <c r="I4" s="56">
        <v>3.4722222222222199E-3</v>
      </c>
      <c r="J4" s="127"/>
      <c r="L4" s="134" t="str">
        <f>IF(N4&lt;&gt;"","K-Zug ABF2","")</f>
        <v>K-Zug ABF2</v>
      </c>
      <c r="M4" s="136" t="str">
        <f>IF(N4&lt;&gt;"","Route","")</f>
        <v>Route</v>
      </c>
      <c r="N4" s="129">
        <v>2</v>
      </c>
      <c r="O4" s="92" t="str">
        <f>IF(N4="","","Relais")</f>
        <v>Relais</v>
      </c>
      <c r="P4" s="93" t="str">
        <f>IF(N4="","",VLOOKUP(N4,$A:$E,2))</f>
        <v>111.11</v>
      </c>
      <c r="Q4" s="93" t="str">
        <f>IF(N4="","",IF(RIGHT(P4,1)="1","V","N"))</f>
        <v>V</v>
      </c>
      <c r="R4" s="94"/>
      <c r="S4" s="101"/>
      <c r="T4" s="94"/>
      <c r="U4" s="94"/>
      <c r="V4" s="94"/>
      <c r="W4" s="94"/>
      <c r="X4" s="94" t="str">
        <f>IF(N4&lt;&gt;"","x","")</f>
        <v>x</v>
      </c>
      <c r="Y4" s="101" t="str">
        <f>IF(X4="x","K-Zug AB","")</f>
        <v>K-Zug AB</v>
      </c>
      <c r="Z4" s="103">
        <f>IF(X4="x",Z2+1,"")</f>
        <v>2</v>
      </c>
      <c r="AA4" s="101" t="str">
        <f>IF(X4="x","K-Zug AN","")</f>
        <v>K-Zug AN</v>
      </c>
      <c r="AB4" s="104">
        <f>IF(X4="x",AB2+1,"")</f>
        <v>2</v>
      </c>
    </row>
    <row r="5" spans="1:30" x14ac:dyDescent="0.25">
      <c r="A5" s="52">
        <v>4</v>
      </c>
      <c r="B5" s="55" t="s">
        <v>51</v>
      </c>
      <c r="C5" s="53" t="str">
        <f>IF($B5="","",VLOOKUP($B5,Haltestellen!$A:$C,2))</f>
        <v>Weisenborn Gl.1/N</v>
      </c>
      <c r="D5" s="55" t="s">
        <v>48</v>
      </c>
      <c r="E5" s="53" t="str">
        <f>IF($D5="","",VLOOKUP($D5,Haltestellen!$A:$C,2))</f>
        <v>Burgstein Gl.3/N</v>
      </c>
      <c r="F5" s="56">
        <v>5.5555555555555601E-3</v>
      </c>
      <c r="G5" s="86"/>
      <c r="H5" s="56"/>
      <c r="I5" s="56">
        <v>3.4722222222222199E-3</v>
      </c>
      <c r="J5" s="127"/>
      <c r="L5" s="135"/>
      <c r="M5" s="137"/>
      <c r="N5" s="130"/>
      <c r="O5" s="95" t="str">
        <f>IF(N4="","","Relais")</f>
        <v>Relais</v>
      </c>
      <c r="P5" s="96" t="str">
        <f>IF(N4="","",VLOOKUP(N4,$A:$E,4))</f>
        <v>111.12</v>
      </c>
      <c r="Q5" s="96" t="str">
        <f>IF(N4="","",IF(RIGHT(P5,1)="1","V","N"))</f>
        <v>N</v>
      </c>
      <c r="R5" s="97" t="str">
        <f>IF(N4&lt;&gt;"","x","")</f>
        <v>x</v>
      </c>
      <c r="S5" s="100" t="str">
        <f>IF(R5="x",S3,"")</f>
        <v>K-Zug AN</v>
      </c>
      <c r="T5" s="99">
        <f>IF(R5="x",T3+1,"")</f>
        <v>3</v>
      </c>
      <c r="U5" s="100" t="str">
        <f>IF(R5="x","K-Zug AB","")</f>
        <v>K-Zug AB</v>
      </c>
      <c r="V5" s="97">
        <f>IF(R5="x",V3+1,"")</f>
        <v>2</v>
      </c>
      <c r="W5" s="97"/>
      <c r="X5" s="97"/>
      <c r="Y5" s="97"/>
      <c r="Z5" s="99"/>
      <c r="AA5" s="97"/>
      <c r="AB5" s="98"/>
    </row>
    <row r="6" spans="1:30" x14ac:dyDescent="0.25">
      <c r="A6" s="52">
        <v>5</v>
      </c>
      <c r="B6" s="55" t="s">
        <v>48</v>
      </c>
      <c r="C6" s="53" t="str">
        <f>IF($B6="","",VLOOKUP($B6,Haltestellen!$A:$C,2))</f>
        <v>Burgstein Gl.3/N</v>
      </c>
      <c r="D6" s="55" t="s">
        <v>52</v>
      </c>
      <c r="E6" s="53" t="str">
        <f>IF($D6="","",VLOOKUP($D6,Haltestellen!$A:$C,2))</f>
        <v>Burgstein Gl.3/V</v>
      </c>
      <c r="F6" s="56">
        <v>1.6666666666666701E-2</v>
      </c>
      <c r="G6" s="86"/>
      <c r="H6" s="56"/>
      <c r="I6" s="56">
        <v>3.4722222222222199E-3</v>
      </c>
      <c r="J6" s="127"/>
      <c r="L6" s="134" t="str">
        <f>IF(N6&lt;&gt;"","K-Zug ABF3","")</f>
        <v>K-Zug ABF3</v>
      </c>
      <c r="M6" s="136" t="str">
        <f>IF(N6&lt;&gt;"","Route","")</f>
        <v>Route</v>
      </c>
      <c r="N6" s="129">
        <v>3</v>
      </c>
      <c r="O6" s="92" t="str">
        <f>IF(N6="","","Relais")</f>
        <v>Relais</v>
      </c>
      <c r="P6" s="93" t="str">
        <f>IF(N6="","",VLOOKUP(N6,$A:$E,2))</f>
        <v>111.12</v>
      </c>
      <c r="Q6" s="93" t="str">
        <f>IF(N6="","",IF(RIGHT(P6,1)="1","V","N"))</f>
        <v>N</v>
      </c>
      <c r="R6" s="94"/>
      <c r="S6" s="101"/>
      <c r="T6" s="94"/>
      <c r="U6" s="94"/>
      <c r="V6" s="94"/>
      <c r="W6" s="94"/>
      <c r="X6" s="94" t="str">
        <f>IF(N6&lt;&gt;"","x","")</f>
        <v>x</v>
      </c>
      <c r="Y6" s="101" t="str">
        <f>IF(X6="x","K-Zug AB","")</f>
        <v>K-Zug AB</v>
      </c>
      <c r="Z6" s="103">
        <f>IF(X6="x",Z4+1,"")</f>
        <v>3</v>
      </c>
      <c r="AA6" s="101" t="str">
        <f>IF(X6="x","K-Zug AN","")</f>
        <v>K-Zug AN</v>
      </c>
      <c r="AB6" s="104">
        <f>IF(X6="x",AB4+1,"")</f>
        <v>3</v>
      </c>
    </row>
    <row r="7" spans="1:30" x14ac:dyDescent="0.25">
      <c r="A7" s="52">
        <v>6</v>
      </c>
      <c r="B7" s="55" t="s">
        <v>52</v>
      </c>
      <c r="C7" s="53" t="str">
        <f>IF($B7="","",VLOOKUP($B7,Haltestellen!$A:$C,2))</f>
        <v>Burgstein Gl.3/V</v>
      </c>
      <c r="D7" s="55" t="s">
        <v>53</v>
      </c>
      <c r="E7" s="53" t="str">
        <f>IF($D7="","",VLOOKUP($D7,Haltestellen!$A:$C,2))</f>
        <v>Weisenborn Gl.1/V</v>
      </c>
      <c r="F7" s="56">
        <v>6.2500000000000003E-3</v>
      </c>
      <c r="G7" s="86"/>
      <c r="H7" s="56"/>
      <c r="I7" s="56">
        <v>6.9444444444444397E-3</v>
      </c>
      <c r="J7" s="127"/>
      <c r="L7" s="135"/>
      <c r="M7" s="137"/>
      <c r="N7" s="130"/>
      <c r="O7" s="95" t="str">
        <f>IF(N6="","","Relais")</f>
        <v>Relais</v>
      </c>
      <c r="P7" s="96" t="str">
        <f>IF(N6="","",VLOOKUP(N6,$A:$E,4))</f>
        <v>413.12</v>
      </c>
      <c r="Q7" s="96" t="str">
        <f>IF(N6="","",IF(RIGHT(P7,1)="1","V","N"))</f>
        <v>N</v>
      </c>
      <c r="R7" s="97" t="str">
        <f>IF(N6&lt;&gt;"","x","")</f>
        <v>x</v>
      </c>
      <c r="S7" s="100" t="str">
        <f>IF(R7="x",S5,"")</f>
        <v>K-Zug AN</v>
      </c>
      <c r="T7" s="99">
        <f>IF(R7="x",T5+1,"")</f>
        <v>4</v>
      </c>
      <c r="U7" s="100" t="str">
        <f>IF(R7="x","K-Zug AB","")</f>
        <v>K-Zug AB</v>
      </c>
      <c r="V7" s="97">
        <f>IF(R7="x",V5+1,"")</f>
        <v>3</v>
      </c>
      <c r="W7" s="97"/>
      <c r="X7" s="97"/>
      <c r="Y7" s="97"/>
      <c r="Z7" s="99"/>
      <c r="AA7" s="97"/>
      <c r="AB7" s="98"/>
    </row>
    <row r="8" spans="1:30" x14ac:dyDescent="0.25">
      <c r="A8" s="52">
        <v>7</v>
      </c>
      <c r="B8" s="55" t="s">
        <v>53</v>
      </c>
      <c r="C8" s="53" t="str">
        <f>IF($B8="","",VLOOKUP($B8,Haltestellen!$A:$C,2))</f>
        <v>Weisenborn Gl.1/V</v>
      </c>
      <c r="D8" s="55" t="s">
        <v>52</v>
      </c>
      <c r="E8" s="53" t="str">
        <f>IF($D8="","",VLOOKUP($D8,Haltestellen!$A:$C,2))</f>
        <v>Burgstein Gl.3/V</v>
      </c>
      <c r="F8" s="56">
        <v>1.2500000000000001E-2</v>
      </c>
      <c r="G8" s="86"/>
      <c r="H8" s="56"/>
      <c r="I8" s="56">
        <v>3.4722222222222199E-3</v>
      </c>
      <c r="J8" s="127"/>
      <c r="L8" s="134" t="str">
        <f>IF(N8&lt;&gt;"","K-Zug ABF4","")</f>
        <v>K-Zug ABF4</v>
      </c>
      <c r="M8" s="136" t="str">
        <f>IF(N8&lt;&gt;"","Route","")</f>
        <v>Route</v>
      </c>
      <c r="N8" s="129">
        <v>4</v>
      </c>
      <c r="O8" s="92" t="str">
        <f>IF(N8="","","Relais")</f>
        <v>Relais</v>
      </c>
      <c r="P8" s="93" t="str">
        <f>IF(N8="","",VLOOKUP(N8,$A:$E,2))</f>
        <v>413.12</v>
      </c>
      <c r="Q8" s="93" t="str">
        <f>IF(N8="","",IF(RIGHT(P8,1)="1","V","N"))</f>
        <v>N</v>
      </c>
      <c r="R8" s="94"/>
      <c r="S8" s="101"/>
      <c r="T8" s="94"/>
      <c r="U8" s="94"/>
      <c r="V8" s="94"/>
      <c r="W8" s="94"/>
      <c r="X8" s="94" t="str">
        <f>IF(N8&lt;&gt;"","x","")</f>
        <v>x</v>
      </c>
      <c r="Y8" s="101" t="str">
        <f>IF(X8="x","K-Zug AB","")</f>
        <v>K-Zug AB</v>
      </c>
      <c r="Z8" s="103">
        <f>IF(X8="x",Z6+1,"")</f>
        <v>4</v>
      </c>
      <c r="AA8" s="101" t="str">
        <f>IF(X8="x","K-Zug AN","")</f>
        <v>K-Zug AN</v>
      </c>
      <c r="AB8" s="104">
        <f>IF(X8="x",AB6+1,"")</f>
        <v>4</v>
      </c>
    </row>
    <row r="9" spans="1:30" x14ac:dyDescent="0.25">
      <c r="A9" s="52">
        <v>8</v>
      </c>
      <c r="B9" s="55" t="s">
        <v>53</v>
      </c>
      <c r="C9" s="53" t="str">
        <f>IF($B9="","",VLOOKUP($B9,Haltestellen!$A:$C,2))</f>
        <v>Weisenborn Gl.1/V</v>
      </c>
      <c r="D9" s="55" t="s">
        <v>49</v>
      </c>
      <c r="E9" s="53" t="str">
        <f>IF($D9="","",VLOOKUP($D9,Haltestellen!$A:$C,2))</f>
        <v>Altstadt Gl.1/V</v>
      </c>
      <c r="F9" s="56">
        <v>6.9444444444444397E-3</v>
      </c>
      <c r="G9" s="86" t="s">
        <v>97</v>
      </c>
      <c r="H9" s="56"/>
      <c r="I9" s="56">
        <v>8.3333333333333297E-3</v>
      </c>
      <c r="J9" s="127"/>
      <c r="L9" s="135"/>
      <c r="M9" s="137"/>
      <c r="N9" s="130"/>
      <c r="O9" s="95" t="str">
        <f>IF(N8="","","Relais")</f>
        <v>Relais</v>
      </c>
      <c r="P9" s="96" t="str">
        <f>IF(N8="","",VLOOKUP(N8,$A:$E,4))</f>
        <v>416.12</v>
      </c>
      <c r="Q9" s="96" t="str">
        <f>IF(N8="","",IF(RIGHT(P9,1)="1","V","N"))</f>
        <v>N</v>
      </c>
      <c r="R9" s="97" t="str">
        <f>IF(N8&lt;&gt;"","x","")</f>
        <v>x</v>
      </c>
      <c r="S9" s="100" t="str">
        <f>IF(R9="x",S7,"")</f>
        <v>K-Zug AN</v>
      </c>
      <c r="T9" s="99">
        <f>IF(R9="x",T7+1,"")</f>
        <v>5</v>
      </c>
      <c r="U9" s="100" t="str">
        <f>IF(R9="x","K-Zug AB","")</f>
        <v>K-Zug AB</v>
      </c>
      <c r="V9" s="97">
        <f>IF(R9="x",V7+1,"")</f>
        <v>4</v>
      </c>
      <c r="W9" s="97"/>
      <c r="X9" s="97"/>
      <c r="Y9" s="97"/>
      <c r="Z9" s="99"/>
      <c r="AA9" s="97"/>
      <c r="AB9" s="98"/>
    </row>
    <row r="10" spans="1:30" x14ac:dyDescent="0.25">
      <c r="A10" s="52">
        <v>9</v>
      </c>
      <c r="B10" s="55" t="s">
        <v>49</v>
      </c>
      <c r="C10" s="53" t="str">
        <f>IF($B10="","",VLOOKUP($B10,Haltestellen!$A:$C,2))</f>
        <v>Altstadt Gl.1/V</v>
      </c>
      <c r="D10" s="55" t="s">
        <v>51</v>
      </c>
      <c r="E10" s="53" t="str">
        <f>IF($D10="","",VLOOKUP($D10,Haltestellen!$A:$C,2))</f>
        <v>Weisenborn Gl.1/N</v>
      </c>
      <c r="F10" s="56">
        <v>1.38888888888889E-2</v>
      </c>
      <c r="G10" s="86"/>
      <c r="H10" s="56"/>
      <c r="I10" s="56">
        <v>3.4722222222222199E-3</v>
      </c>
      <c r="J10" s="127"/>
      <c r="L10" s="134" t="str">
        <f>IF(N10&lt;&gt;"","K-Zug ABF5","")</f>
        <v>K-Zug ABF5</v>
      </c>
      <c r="M10" s="136" t="str">
        <f>IF(N10&lt;&gt;"","Route","")</f>
        <v>Route</v>
      </c>
      <c r="N10" s="129">
        <v>5</v>
      </c>
      <c r="O10" s="92" t="str">
        <f>IF(N10="","","Relais")</f>
        <v>Relais</v>
      </c>
      <c r="P10" s="93" t="str">
        <f>IF(N10="","",VLOOKUP(N10,$A:$E,2))</f>
        <v>416.12</v>
      </c>
      <c r="Q10" s="93" t="str">
        <f>IF(N10="","",IF(RIGHT(P10,1)="1","V","N"))</f>
        <v>N</v>
      </c>
      <c r="R10" s="94"/>
      <c r="S10" s="101"/>
      <c r="T10" s="94"/>
      <c r="U10" s="94"/>
      <c r="V10" s="94"/>
      <c r="W10" s="94"/>
      <c r="X10" s="94" t="str">
        <f>IF(N10&lt;&gt;"","x","")</f>
        <v>x</v>
      </c>
      <c r="Y10" s="101" t="str">
        <f>IF(X10="x","K-Zug AB","")</f>
        <v>K-Zug AB</v>
      </c>
      <c r="Z10" s="103">
        <f>IF(X10="x",Z8+1,"")</f>
        <v>5</v>
      </c>
      <c r="AA10" s="101" t="str">
        <f>IF(X10="x","K-Zug AN","")</f>
        <v>K-Zug AN</v>
      </c>
      <c r="AB10" s="104">
        <f>IF(X10="x",AB8+1,"")</f>
        <v>5</v>
      </c>
    </row>
    <row r="11" spans="1:30" x14ac:dyDescent="0.25">
      <c r="A11" s="52">
        <v>10</v>
      </c>
      <c r="B11" s="55" t="s">
        <v>50</v>
      </c>
      <c r="C11" s="53" t="str">
        <f>IF($B11="","",VLOOKUP($B11,Haltestellen!$A:$C,2))</f>
        <v>Altstadt Gl.1/N</v>
      </c>
      <c r="D11" s="55" t="s">
        <v>52</v>
      </c>
      <c r="E11" s="53" t="str">
        <f>IF($D11="","",VLOOKUP($D11,Haltestellen!$A:$C,2))</f>
        <v>Burgstein Gl.3/V</v>
      </c>
      <c r="F11" s="56">
        <v>9.0277777777777804E-3</v>
      </c>
      <c r="G11" s="86"/>
      <c r="H11" s="56"/>
      <c r="I11" s="56">
        <v>6.9444444444444397E-3</v>
      </c>
      <c r="J11" s="127"/>
      <c r="L11" s="135"/>
      <c r="M11" s="137"/>
      <c r="N11" s="130"/>
      <c r="O11" s="95" t="str">
        <f>IF(N10="","","Relais")</f>
        <v>Relais</v>
      </c>
      <c r="P11" s="96" t="str">
        <f>IF(N10="","",VLOOKUP(N10,$A:$E,4))</f>
        <v>416.11</v>
      </c>
      <c r="Q11" s="96" t="str">
        <f>IF(N10="","",IF(RIGHT(P11,1)="1","V","N"))</f>
        <v>V</v>
      </c>
      <c r="R11" s="97" t="str">
        <f>IF(N10&lt;&gt;"","x","")</f>
        <v>x</v>
      </c>
      <c r="S11" s="100" t="str">
        <f>IF(R11="x",S9,"")</f>
        <v>K-Zug AN</v>
      </c>
      <c r="T11" s="99">
        <f>IF(R11="x",T9+1,"")</f>
        <v>6</v>
      </c>
      <c r="U11" s="100" t="str">
        <f>IF(R11="x","K-Zug AB","")</f>
        <v>K-Zug AB</v>
      </c>
      <c r="V11" s="97">
        <f>IF(R11="x",V9+1,"")</f>
        <v>5</v>
      </c>
      <c r="W11" s="97"/>
      <c r="X11" s="97"/>
      <c r="Y11" s="97"/>
      <c r="Z11" s="99"/>
      <c r="AA11" s="97"/>
      <c r="AB11" s="98"/>
    </row>
    <row r="12" spans="1:30" x14ac:dyDescent="0.25">
      <c r="A12" s="52">
        <v>11</v>
      </c>
      <c r="B12" s="55" t="s">
        <v>53</v>
      </c>
      <c r="C12" s="53" t="str">
        <f>IF($B12="","",VLOOKUP($B12,Haltestellen!$A:$C,2))</f>
        <v>Weisenborn Gl.1/V</v>
      </c>
      <c r="D12" s="55" t="s">
        <v>49</v>
      </c>
      <c r="E12" s="53" t="str">
        <f>IF($D12="","",VLOOKUP($D12,Haltestellen!$A:$C,2))</f>
        <v>Altstadt Gl.1/V</v>
      </c>
      <c r="F12" s="56">
        <v>2.5694444444444402E-2</v>
      </c>
      <c r="G12" s="86" t="s">
        <v>97</v>
      </c>
      <c r="H12" s="56"/>
      <c r="I12" s="56">
        <v>1.38888888888889E-3</v>
      </c>
      <c r="J12" s="127"/>
      <c r="L12" s="134" t="str">
        <f>IF(N12&lt;&gt;"","K-Zug ABF6","")</f>
        <v>K-Zug ABF6</v>
      </c>
      <c r="M12" s="136" t="str">
        <f>IF(N12&lt;&gt;"","Route","")</f>
        <v>Route</v>
      </c>
      <c r="N12" s="129">
        <v>6</v>
      </c>
      <c r="O12" s="92" t="str">
        <f>IF(N12="","","Relais")</f>
        <v>Relais</v>
      </c>
      <c r="P12" s="93" t="str">
        <f>IF(N12="","",VLOOKUP(N12,$A:$E,2))</f>
        <v>416.11</v>
      </c>
      <c r="Q12" s="93" t="str">
        <f>IF(N12="","",IF(RIGHT(P12,1)="1","V","N"))</f>
        <v>V</v>
      </c>
      <c r="R12" s="94"/>
      <c r="S12" s="101"/>
      <c r="T12" s="94"/>
      <c r="U12" s="94"/>
      <c r="V12" s="94"/>
      <c r="W12" s="94"/>
      <c r="X12" s="94" t="str">
        <f>IF(N12&lt;&gt;"","x","")</f>
        <v>x</v>
      </c>
      <c r="Y12" s="101" t="str">
        <f>IF(X12="x","K-Zug AB","")</f>
        <v>K-Zug AB</v>
      </c>
      <c r="Z12" s="103">
        <f>IF(X12="x",Z10+1,"")</f>
        <v>6</v>
      </c>
      <c r="AA12" s="101" t="str">
        <f>IF(X12="x","K-Zug AN","")</f>
        <v>K-Zug AN</v>
      </c>
      <c r="AB12" s="104">
        <f>IF(X12="x",AB10+1,"")</f>
        <v>6</v>
      </c>
    </row>
    <row r="13" spans="1:30" x14ac:dyDescent="0.25">
      <c r="A13" s="52">
        <v>12</v>
      </c>
      <c r="B13" s="55" t="s">
        <v>50</v>
      </c>
      <c r="C13" s="53" t="str">
        <f>IF($B13="","",VLOOKUP($B13,Haltestellen!$A:$C,2))</f>
        <v>Altstadt Gl.1/N</v>
      </c>
      <c r="D13" s="55" t="s">
        <v>48</v>
      </c>
      <c r="E13" s="53" t="str">
        <f>IF($D13="","",VLOOKUP($D13,Haltestellen!$A:$C,2))</f>
        <v>Burgstein Gl.3/N</v>
      </c>
      <c r="F13" s="56">
        <v>9.0277777777777804E-3</v>
      </c>
      <c r="G13" s="86"/>
      <c r="H13" s="56"/>
      <c r="I13" s="56">
        <v>3.4722222222222199E-3</v>
      </c>
      <c r="J13" s="127"/>
      <c r="L13" s="135"/>
      <c r="M13" s="137"/>
      <c r="N13" s="130"/>
      <c r="O13" s="95" t="str">
        <f>IF(N12="","","Relais")</f>
        <v>Relais</v>
      </c>
      <c r="P13" s="96" t="str">
        <f>IF(N12="","",VLOOKUP(N12,$A:$E,4))</f>
        <v>413.11</v>
      </c>
      <c r="Q13" s="96" t="str">
        <f>IF(N12="","",IF(RIGHT(P13,1)="1","V","N"))</f>
        <v>V</v>
      </c>
      <c r="R13" s="97" t="str">
        <f>IF(N12&lt;&gt;"","x","")</f>
        <v>x</v>
      </c>
      <c r="S13" s="100" t="str">
        <f>IF(R13="x",S11,"")</f>
        <v>K-Zug AN</v>
      </c>
      <c r="T13" s="99">
        <f>IF(R13="x",T11+1,"")</f>
        <v>7</v>
      </c>
      <c r="U13" s="100" t="str">
        <f>IF(R13="x","K-Zug AB","")</f>
        <v>K-Zug AB</v>
      </c>
      <c r="V13" s="97">
        <f>IF(R13="x",V11+1,"")</f>
        <v>6</v>
      </c>
      <c r="W13" s="97"/>
      <c r="X13" s="97"/>
      <c r="Y13" s="97"/>
      <c r="Z13" s="99"/>
      <c r="AA13" s="97"/>
      <c r="AB13" s="98"/>
    </row>
    <row r="14" spans="1:30" x14ac:dyDescent="0.25">
      <c r="A14" s="52"/>
      <c r="B14" s="55"/>
      <c r="C14" s="53" t="str">
        <f>IF($B14="","",VLOOKUP($B14,Haltestellen!$A:$C,2))</f>
        <v/>
      </c>
      <c r="D14" s="55"/>
      <c r="E14" s="53" t="str">
        <f>IF($D14="","",VLOOKUP($D14,Haltestellen!$A:$C,2))</f>
        <v/>
      </c>
      <c r="F14" s="52"/>
      <c r="G14" s="86"/>
      <c r="H14" s="56"/>
      <c r="I14" s="52"/>
      <c r="J14" s="127" t="str">
        <f t="shared" ref="J14:J38" si="0">IF(H14="","",H14*24/60*$K$1)</f>
        <v/>
      </c>
      <c r="L14" s="134" t="str">
        <f>IF(N14&lt;&gt;"","K-Zug ABF7","")</f>
        <v>K-Zug ABF7</v>
      </c>
      <c r="M14" s="136" t="str">
        <f>IF(N14&lt;&gt;"","Route","")</f>
        <v>Route</v>
      </c>
      <c r="N14" s="129">
        <v>8</v>
      </c>
      <c r="O14" s="92" t="str">
        <f>IF(N14="","","Relais")</f>
        <v>Relais</v>
      </c>
      <c r="P14" s="93" t="str">
        <f>IF(N14="","",VLOOKUP(N14,$A:$E,2))</f>
        <v>413.11</v>
      </c>
      <c r="Q14" s="93" t="str">
        <f>IF(N14="","",IF(RIGHT(P14,1)="1","V","N"))</f>
        <v>V</v>
      </c>
      <c r="R14" s="94"/>
      <c r="S14" s="101"/>
      <c r="T14" s="94"/>
      <c r="U14" s="94"/>
      <c r="V14" s="94"/>
      <c r="W14" s="94"/>
      <c r="X14" s="94" t="str">
        <f>IF(N14&lt;&gt;"","x","")</f>
        <v>x</v>
      </c>
      <c r="Y14" s="101" t="str">
        <f>IF(X14="x","K-Zug AB","")</f>
        <v>K-Zug AB</v>
      </c>
      <c r="Z14" s="103">
        <f>IF(X14="x",Z12+1,"")</f>
        <v>7</v>
      </c>
      <c r="AA14" s="101" t="str">
        <f>IF(X14="x","K-Zug AN","")</f>
        <v>K-Zug AN</v>
      </c>
      <c r="AB14" s="104">
        <f>IF(X14="x",AB12+1,"")</f>
        <v>7</v>
      </c>
    </row>
    <row r="15" spans="1:30" x14ac:dyDescent="0.25">
      <c r="A15" s="52"/>
      <c r="B15" s="55"/>
      <c r="C15" s="53" t="str">
        <f>IF($B15="","",VLOOKUP($B15,Haltestellen!$A:$C,2))</f>
        <v/>
      </c>
      <c r="D15" s="55"/>
      <c r="E15" s="53" t="str">
        <f>IF($D15="","",VLOOKUP($D15,Haltestellen!$A:$C,2))</f>
        <v/>
      </c>
      <c r="F15" s="52"/>
      <c r="G15" s="86"/>
      <c r="H15" s="56"/>
      <c r="I15" s="52"/>
      <c r="J15" s="127" t="str">
        <f t="shared" si="0"/>
        <v/>
      </c>
      <c r="L15" s="135"/>
      <c r="M15" s="137"/>
      <c r="N15" s="130"/>
      <c r="O15" s="95" t="str">
        <f>IF(N14="","","Relais")</f>
        <v>Relais</v>
      </c>
      <c r="P15" s="96" t="str">
        <f>IF(N14="","",VLOOKUP(N14,$A:$E,4))</f>
        <v>111.11</v>
      </c>
      <c r="Q15" s="96" t="str">
        <f>IF(N14="","",IF(RIGHT(P15,1)="1","V","N"))</f>
        <v>V</v>
      </c>
      <c r="R15" s="97" t="str">
        <f>IF(N14&lt;&gt;"","x","")</f>
        <v>x</v>
      </c>
      <c r="S15" s="100" t="str">
        <f>IF(R15="x",S13,"")</f>
        <v>K-Zug AN</v>
      </c>
      <c r="T15" s="99">
        <f>IF(R15="x",T13+1,"")</f>
        <v>8</v>
      </c>
      <c r="U15" s="100" t="str">
        <f>IF(R15="x","K-Zug AB","")</f>
        <v>K-Zug AB</v>
      </c>
      <c r="V15" s="97">
        <f>IF(R15="x",V13+1,"")</f>
        <v>7</v>
      </c>
      <c r="W15" s="97"/>
      <c r="X15" s="97"/>
      <c r="Y15" s="97"/>
      <c r="Z15" s="99"/>
      <c r="AA15" s="97"/>
      <c r="AB15" s="98"/>
    </row>
    <row r="16" spans="1:30" x14ac:dyDescent="0.25">
      <c r="A16" s="52"/>
      <c r="B16" s="55"/>
      <c r="C16" s="53" t="str">
        <f>IF($B16="","",VLOOKUP($B16,Haltestellen!$A:$C,2))</f>
        <v/>
      </c>
      <c r="D16" s="55"/>
      <c r="E16" s="53" t="str">
        <f>IF($D16="","",VLOOKUP($D16,Haltestellen!$A:$C,2))</f>
        <v/>
      </c>
      <c r="F16" s="52"/>
      <c r="G16" s="86"/>
      <c r="H16" s="56"/>
      <c r="I16" s="52"/>
      <c r="J16" s="127" t="str">
        <f t="shared" si="0"/>
        <v/>
      </c>
      <c r="L16" s="134" t="str">
        <f>IF(N16&lt;&gt;"","K-Zug ABF8","")</f>
        <v>K-Zug ABF8</v>
      </c>
      <c r="M16" s="136" t="str">
        <f>IF(N16&lt;&gt;"","Route","")</f>
        <v>Route</v>
      </c>
      <c r="N16" s="129">
        <v>9</v>
      </c>
      <c r="O16" s="92" t="str">
        <f>IF(N16="","","Relais")</f>
        <v>Relais</v>
      </c>
      <c r="P16" s="93" t="str">
        <f>IF(N16="","",VLOOKUP(N16,$A:$E,2))</f>
        <v>111.11</v>
      </c>
      <c r="Q16" s="93" t="str">
        <f>IF(N16="","",IF(RIGHT(P16,1)="1","V","N"))</f>
        <v>V</v>
      </c>
      <c r="R16" s="94"/>
      <c r="S16" s="101"/>
      <c r="T16" s="94"/>
      <c r="U16" s="94"/>
      <c r="V16" s="94"/>
      <c r="W16" s="94"/>
      <c r="X16" s="94" t="str">
        <f>IF(N16&lt;&gt;"","x","")</f>
        <v>x</v>
      </c>
      <c r="Y16" s="101" t="str">
        <f>IF(X16="x","K-Zug AB","")</f>
        <v>K-Zug AB</v>
      </c>
      <c r="Z16" s="103">
        <f>IF(X16="x",Z14+1,"")</f>
        <v>8</v>
      </c>
      <c r="AA16" s="101" t="str">
        <f>IF(X16="x","K-Zug AN","")</f>
        <v>K-Zug AN</v>
      </c>
      <c r="AB16" s="104">
        <f>IF(X16="x",AB14+1,"")</f>
        <v>8</v>
      </c>
    </row>
    <row r="17" spans="1:28" x14ac:dyDescent="0.25">
      <c r="A17" s="52"/>
      <c r="B17" s="55"/>
      <c r="C17" s="53" t="str">
        <f>IF($B17="","",VLOOKUP($B17,Haltestellen!$A:$C,2))</f>
        <v/>
      </c>
      <c r="D17" s="55"/>
      <c r="E17" s="53" t="str">
        <f>IF($D17="","",VLOOKUP($D17,Haltestellen!$A:$C,2))</f>
        <v/>
      </c>
      <c r="F17" s="52"/>
      <c r="G17" s="86"/>
      <c r="H17" s="56"/>
      <c r="I17" s="52"/>
      <c r="J17" s="127" t="str">
        <f t="shared" si="0"/>
        <v/>
      </c>
      <c r="L17" s="135"/>
      <c r="M17" s="137"/>
      <c r="N17" s="130"/>
      <c r="O17" s="95" t="str">
        <f>IF(N16="","","Relais")</f>
        <v>Relais</v>
      </c>
      <c r="P17" s="96" t="str">
        <f>IF(N16="","",VLOOKUP(N16,$A:$E,4))</f>
        <v>413.12</v>
      </c>
      <c r="Q17" s="96" t="str">
        <f>IF(N16="","",IF(RIGHT(P17,1)="1","V","N"))</f>
        <v>N</v>
      </c>
      <c r="R17" s="97" t="str">
        <f>IF(N16&lt;&gt;"","x","")</f>
        <v>x</v>
      </c>
      <c r="S17" s="100" t="str">
        <f>IF(R17="x",S15,"")</f>
        <v>K-Zug AN</v>
      </c>
      <c r="T17" s="99">
        <f>IF(R17="x",T15+1,"")</f>
        <v>9</v>
      </c>
      <c r="U17" s="100" t="str">
        <f>IF(R17="x","K-Zug AB","")</f>
        <v>K-Zug AB</v>
      </c>
      <c r="V17" s="97">
        <f>IF(R17="x",V15+1,"")</f>
        <v>8</v>
      </c>
      <c r="W17" s="97"/>
      <c r="X17" s="97"/>
      <c r="Y17" s="97"/>
      <c r="Z17" s="99"/>
      <c r="AA17" s="97"/>
      <c r="AB17" s="98"/>
    </row>
    <row r="18" spans="1:28" x14ac:dyDescent="0.25">
      <c r="A18" s="52"/>
      <c r="B18" s="55"/>
      <c r="C18" s="53" t="str">
        <f>IF($B18="","",VLOOKUP($B18,Haltestellen!$A:$C,2))</f>
        <v/>
      </c>
      <c r="D18" s="55"/>
      <c r="E18" s="53" t="str">
        <f>IF($D18="","",VLOOKUP($D18,Haltestellen!$A:$C,2))</f>
        <v/>
      </c>
      <c r="F18" s="52"/>
      <c r="G18" s="86"/>
      <c r="H18" s="56"/>
      <c r="I18" s="52"/>
      <c r="J18" s="127" t="str">
        <f t="shared" si="0"/>
        <v/>
      </c>
      <c r="L18" s="134" t="str">
        <f>IF(N18&lt;&gt;"","K-Zug ABF9","")</f>
        <v>K-Zug ABF9</v>
      </c>
      <c r="M18" s="136" t="str">
        <f>IF(N18&lt;&gt;"","Route","")</f>
        <v>Route</v>
      </c>
      <c r="N18" s="129">
        <v>4</v>
      </c>
      <c r="O18" s="92" t="str">
        <f>IF(N18="","","Relais")</f>
        <v>Relais</v>
      </c>
      <c r="P18" s="93" t="str">
        <f>IF(N18="","",VLOOKUP(N18,$A:$E,2))</f>
        <v>413.12</v>
      </c>
      <c r="Q18" s="93" t="str">
        <f>IF(N18="","",IF(RIGHT(P18,1)="1","V","N"))</f>
        <v>N</v>
      </c>
      <c r="R18" s="94"/>
      <c r="S18" s="101"/>
      <c r="T18" s="94"/>
      <c r="U18" s="94"/>
      <c r="V18" s="94"/>
      <c r="W18" s="94"/>
      <c r="X18" s="94" t="str">
        <f>IF(N18&lt;&gt;"","x","")</f>
        <v>x</v>
      </c>
      <c r="Y18" s="101" t="str">
        <f>IF(X18="x","K-Zug AB","")</f>
        <v>K-Zug AB</v>
      </c>
      <c r="Z18" s="103">
        <f>IF(X18="x",Z16+1,"")</f>
        <v>9</v>
      </c>
      <c r="AA18" s="101" t="str">
        <f>IF(X18="x","K-Zug AN","")</f>
        <v>K-Zug AN</v>
      </c>
      <c r="AB18" s="104">
        <f>IF(X18="x",AB16+1,"")</f>
        <v>9</v>
      </c>
    </row>
    <row r="19" spans="1:28" x14ac:dyDescent="0.25">
      <c r="A19" s="52"/>
      <c r="B19" s="55"/>
      <c r="C19" s="53" t="str">
        <f>IF($B19="","",VLOOKUP($B19,Haltestellen!$A:$C,2))</f>
        <v/>
      </c>
      <c r="D19" s="55"/>
      <c r="E19" s="53" t="str">
        <f>IF($D19="","",VLOOKUP($D19,Haltestellen!$A:$C,2))</f>
        <v/>
      </c>
      <c r="F19" s="52"/>
      <c r="G19" s="86"/>
      <c r="H19" s="56"/>
      <c r="I19" s="52"/>
      <c r="J19" s="127" t="str">
        <f t="shared" si="0"/>
        <v/>
      </c>
      <c r="L19" s="135"/>
      <c r="M19" s="137"/>
      <c r="N19" s="130"/>
      <c r="O19" s="95" t="str">
        <f>IF(N18="","","Relais")</f>
        <v>Relais</v>
      </c>
      <c r="P19" s="96" t="str">
        <f>IF(N18="","",VLOOKUP(N18,$A:$E,4))</f>
        <v>416.12</v>
      </c>
      <c r="Q19" s="96" t="str">
        <f>IF(N18="","",IF(RIGHT(P19,1)="1","V","N"))</f>
        <v>N</v>
      </c>
      <c r="R19" s="97" t="str">
        <f>IF(N18&lt;&gt;"","x","")</f>
        <v>x</v>
      </c>
      <c r="S19" s="100" t="str">
        <f>IF(R19="x",S17,"")</f>
        <v>K-Zug AN</v>
      </c>
      <c r="T19" s="99">
        <f>IF(R19="x",T17+1,"")</f>
        <v>10</v>
      </c>
      <c r="U19" s="100" t="str">
        <f>IF(R19="x","K-Zug AB","")</f>
        <v>K-Zug AB</v>
      </c>
      <c r="V19" s="97">
        <f>IF(R19="x",V17+1,"")</f>
        <v>9</v>
      </c>
      <c r="W19" s="97"/>
      <c r="X19" s="97"/>
      <c r="Y19" s="97"/>
      <c r="Z19" s="99"/>
      <c r="AA19" s="97"/>
      <c r="AB19" s="98"/>
    </row>
    <row r="20" spans="1:28" x14ac:dyDescent="0.25">
      <c r="A20" s="52"/>
      <c r="B20" s="55"/>
      <c r="C20" s="53" t="str">
        <f>IF($B20="","",VLOOKUP($B20,Haltestellen!$A:$C,2))</f>
        <v/>
      </c>
      <c r="D20" s="55"/>
      <c r="E20" s="53" t="str">
        <f>IF($D20="","",VLOOKUP($D20,Haltestellen!$A:$C,2))</f>
        <v/>
      </c>
      <c r="F20" s="52"/>
      <c r="G20" s="86"/>
      <c r="H20" s="56"/>
      <c r="I20" s="52"/>
      <c r="J20" s="127" t="str">
        <f t="shared" si="0"/>
        <v/>
      </c>
      <c r="L20" s="134" t="str">
        <f>IF(N20&lt;&gt;"","K-Zug ABF10","")</f>
        <v>K-Zug ABF10</v>
      </c>
      <c r="M20" s="136" t="str">
        <f>IF(N20&lt;&gt;"","Route","")</f>
        <v>Route</v>
      </c>
      <c r="N20" s="129">
        <v>1</v>
      </c>
      <c r="O20" s="92" t="str">
        <f>IF(N20="","","Relais")</f>
        <v>Relais</v>
      </c>
      <c r="P20" s="93" t="str">
        <f>IF(N20="","",VLOOKUP(N20,$A:$E,2))</f>
        <v>416.12</v>
      </c>
      <c r="Q20" s="93" t="str">
        <f>IF(N20="","",IF(RIGHT(P20,1)="1","V","N"))</f>
        <v>N</v>
      </c>
      <c r="R20" s="94"/>
      <c r="S20" s="101"/>
      <c r="T20" s="94"/>
      <c r="U20" s="94"/>
      <c r="V20" s="94"/>
      <c r="W20" s="94"/>
      <c r="X20" s="94" t="str">
        <f>IF(N20&lt;&gt;"","x","")</f>
        <v>x</v>
      </c>
      <c r="Y20" s="101" t="str">
        <f>IF(X20="x","K-Zug AB","")</f>
        <v>K-Zug AB</v>
      </c>
      <c r="Z20" s="103">
        <f>IF(X20="x",Z18+1,"")</f>
        <v>10</v>
      </c>
      <c r="AA20" s="101" t="str">
        <f>IF(X20="x","K-Zug AN","")</f>
        <v>K-Zug AN</v>
      </c>
      <c r="AB20" s="104">
        <f>IF(X20="x",AB18+1,"")</f>
        <v>10</v>
      </c>
    </row>
    <row r="21" spans="1:28" x14ac:dyDescent="0.25">
      <c r="A21" s="52"/>
      <c r="B21" s="55"/>
      <c r="C21" s="53" t="str">
        <f>IF($B21="","",VLOOKUP($B21,Haltestellen!$A:$C,2))</f>
        <v/>
      </c>
      <c r="D21" s="55"/>
      <c r="E21" s="53" t="str">
        <f>IF($D21="","",VLOOKUP($D21,Haltestellen!$A:$C,2))</f>
        <v/>
      </c>
      <c r="F21" s="52"/>
      <c r="G21" s="86"/>
      <c r="H21" s="56"/>
      <c r="I21" s="52"/>
      <c r="J21" s="127" t="str">
        <f t="shared" si="0"/>
        <v/>
      </c>
      <c r="L21" s="135"/>
      <c r="M21" s="137"/>
      <c r="N21" s="130"/>
      <c r="O21" s="95" t="str">
        <f>IF(N20="","","Relais")</f>
        <v>Relais</v>
      </c>
      <c r="P21" s="96" t="str">
        <f>IF(N20="","",VLOOKUP(N20,$A:$E,4))</f>
        <v>111.11</v>
      </c>
      <c r="Q21" s="96" t="str">
        <f>IF(N20="","",IF(RIGHT(P21,1)="1","V","N"))</f>
        <v>V</v>
      </c>
      <c r="R21" s="97" t="str">
        <f>IF(N20&lt;&gt;"","x","")</f>
        <v>x</v>
      </c>
      <c r="S21" s="100" t="str">
        <f>IF(R21="x",S19,"")</f>
        <v>K-Zug AN</v>
      </c>
      <c r="T21" s="99">
        <f>IF(R21="x",T19+1,"")</f>
        <v>11</v>
      </c>
      <c r="U21" s="100" t="str">
        <f>IF(R21="x","K-Zug AB","")</f>
        <v>K-Zug AB</v>
      </c>
      <c r="V21" s="97">
        <f>IF(R21="x",V19+1,"")</f>
        <v>10</v>
      </c>
      <c r="W21" s="97"/>
      <c r="X21" s="97"/>
      <c r="Y21" s="97"/>
      <c r="Z21" s="99"/>
      <c r="AA21" s="97"/>
      <c r="AB21" s="98"/>
    </row>
    <row r="22" spans="1:28" x14ac:dyDescent="0.25">
      <c r="A22" s="52"/>
      <c r="B22" s="55"/>
      <c r="C22" s="53" t="str">
        <f>IF($B22="","",VLOOKUP($B22,Haltestellen!$A:$C,2))</f>
        <v/>
      </c>
      <c r="D22" s="55"/>
      <c r="E22" s="53" t="str">
        <f>IF($D22="","",VLOOKUP($D22,Haltestellen!$A:$C,2))</f>
        <v/>
      </c>
      <c r="F22" s="52"/>
      <c r="G22" s="86"/>
      <c r="H22" s="56"/>
      <c r="I22" s="52"/>
      <c r="J22" s="127" t="str">
        <f t="shared" si="0"/>
        <v/>
      </c>
      <c r="L22" s="134" t="str">
        <f>IF(N22&lt;&gt;"","K-Zug ABF11","")</f>
        <v>K-Zug ABF11</v>
      </c>
      <c r="M22" s="136" t="str">
        <f>IF(N22&lt;&gt;"","Route","")</f>
        <v>Route</v>
      </c>
      <c r="N22" s="129">
        <v>2</v>
      </c>
      <c r="O22" s="92" t="str">
        <f>IF(N22="","","Relais")</f>
        <v>Relais</v>
      </c>
      <c r="P22" s="93" t="str">
        <f>IF(N22="","",VLOOKUP(N22,$A:$E,2))</f>
        <v>111.11</v>
      </c>
      <c r="Q22" s="93" t="str">
        <f>IF(N22="","",IF(RIGHT(P22,1)="1","V","N"))</f>
        <v>V</v>
      </c>
      <c r="R22" s="94"/>
      <c r="S22" s="101"/>
      <c r="T22" s="94"/>
      <c r="U22" s="94"/>
      <c r="V22" s="94"/>
      <c r="W22" s="94"/>
      <c r="X22" s="94" t="str">
        <f>IF(N22&lt;&gt;"","x","")</f>
        <v>x</v>
      </c>
      <c r="Y22" s="101" t="str">
        <f>IF(X22="x","K-Zug AB","")</f>
        <v>K-Zug AB</v>
      </c>
      <c r="Z22" s="103">
        <f>IF(X22="x",Z20+1,"")</f>
        <v>11</v>
      </c>
      <c r="AA22" s="101" t="str">
        <f>IF(X22="x","K-Zug AN","")</f>
        <v>K-Zug AN</v>
      </c>
      <c r="AB22" s="104">
        <f>IF(X22="x",AB20+1,"")</f>
        <v>11</v>
      </c>
    </row>
    <row r="23" spans="1:28" x14ac:dyDescent="0.25">
      <c r="A23" s="52"/>
      <c r="B23" s="55"/>
      <c r="C23" s="53" t="str">
        <f>IF($B23="","",VLOOKUP($B23,Haltestellen!$A:$C,2))</f>
        <v/>
      </c>
      <c r="D23" s="55"/>
      <c r="E23" s="53" t="str">
        <f>IF($D23="","",VLOOKUP($D23,Haltestellen!$A:$C,2))</f>
        <v/>
      </c>
      <c r="F23" s="52"/>
      <c r="G23" s="86"/>
      <c r="H23" s="56"/>
      <c r="I23" s="52"/>
      <c r="J23" s="127" t="str">
        <f t="shared" si="0"/>
        <v/>
      </c>
      <c r="L23" s="135"/>
      <c r="M23" s="137"/>
      <c r="N23" s="130"/>
      <c r="O23" s="95" t="str">
        <f>IF(N22="","","Relais")</f>
        <v>Relais</v>
      </c>
      <c r="P23" s="96" t="str">
        <f>IF(N22="","",VLOOKUP(N22,$A:$E,4))</f>
        <v>111.12</v>
      </c>
      <c r="Q23" s="96" t="str">
        <f>IF(N22="","",IF(RIGHT(P23,1)="1","V","N"))</f>
        <v>N</v>
      </c>
      <c r="R23" s="97" t="str">
        <f>IF(N22&lt;&gt;"","x","")</f>
        <v>x</v>
      </c>
      <c r="S23" s="100" t="str">
        <f>IF(R23="x",S21,"")</f>
        <v>K-Zug AN</v>
      </c>
      <c r="T23" s="99">
        <f>IF(R23="x",T21+1,"")</f>
        <v>12</v>
      </c>
      <c r="U23" s="100" t="str">
        <f>IF(R23="x","K-Zug AB","")</f>
        <v>K-Zug AB</v>
      </c>
      <c r="V23" s="97">
        <f>IF(R23="x",V21+1,"")</f>
        <v>11</v>
      </c>
      <c r="W23" s="97"/>
      <c r="X23" s="97"/>
      <c r="Y23" s="97"/>
      <c r="Z23" s="99"/>
      <c r="AA23" s="97"/>
      <c r="AB23" s="98"/>
    </row>
    <row r="24" spans="1:28" x14ac:dyDescent="0.25">
      <c r="A24" s="52"/>
      <c r="B24" s="55"/>
      <c r="C24" s="53" t="str">
        <f>IF($B24="","",VLOOKUP($B24,Haltestellen!$A:$C,2))</f>
        <v/>
      </c>
      <c r="D24" s="55"/>
      <c r="E24" s="53" t="str">
        <f>IF($D24="","",VLOOKUP($D24,Haltestellen!$A:$C,2))</f>
        <v/>
      </c>
      <c r="F24" s="52"/>
      <c r="G24" s="86"/>
      <c r="H24" s="56"/>
      <c r="I24" s="52"/>
      <c r="J24" s="127" t="str">
        <f t="shared" si="0"/>
        <v/>
      </c>
      <c r="L24" s="134" t="str">
        <f>IF(N24&lt;&gt;"","K-Zug ABF12","")</f>
        <v>K-Zug ABF12</v>
      </c>
      <c r="M24" s="136" t="str">
        <f>IF(N24&lt;&gt;"","Route","")</f>
        <v>Route</v>
      </c>
      <c r="N24" s="129">
        <v>3</v>
      </c>
      <c r="O24" s="92" t="str">
        <f>IF(N24="","","Relais")</f>
        <v>Relais</v>
      </c>
      <c r="P24" s="93" t="str">
        <f>IF(N24="","",VLOOKUP(N24,$A:$E,2))</f>
        <v>111.12</v>
      </c>
      <c r="Q24" s="93" t="str">
        <f>IF(N24="","",IF(RIGHT(P24,1)="1","V","N"))</f>
        <v>N</v>
      </c>
      <c r="R24" s="94"/>
      <c r="S24" s="101"/>
      <c r="T24" s="94"/>
      <c r="U24" s="94"/>
      <c r="V24" s="94"/>
      <c r="W24" s="94"/>
      <c r="X24" s="94" t="str">
        <f>IF(N24&lt;&gt;"","x","")</f>
        <v>x</v>
      </c>
      <c r="Y24" s="101" t="str">
        <f>IF(X24="x","K-Zug AB","")</f>
        <v>K-Zug AB</v>
      </c>
      <c r="Z24" s="103">
        <f>IF(X24="x",Z22+1,"")</f>
        <v>12</v>
      </c>
      <c r="AA24" s="101" t="str">
        <f>IF(X24="x","K-Zug AN","")</f>
        <v>K-Zug AN</v>
      </c>
      <c r="AB24" s="104">
        <f>IF(X24="x",AB22+1,"")</f>
        <v>12</v>
      </c>
    </row>
    <row r="25" spans="1:28" x14ac:dyDescent="0.25">
      <c r="A25" s="52"/>
      <c r="B25" s="55"/>
      <c r="C25" s="53" t="str">
        <f>IF($B25="","",VLOOKUP($B25,Haltestellen!$A:$C,2))</f>
        <v/>
      </c>
      <c r="D25" s="55"/>
      <c r="E25" s="53" t="str">
        <f>IF($D25="","",VLOOKUP($D25,Haltestellen!$A:$C,2))</f>
        <v/>
      </c>
      <c r="F25" s="52"/>
      <c r="G25" s="86"/>
      <c r="H25" s="56"/>
      <c r="I25" s="52"/>
      <c r="J25" s="127" t="str">
        <f t="shared" si="0"/>
        <v/>
      </c>
      <c r="L25" s="135"/>
      <c r="M25" s="137"/>
      <c r="N25" s="130"/>
      <c r="O25" s="95" t="str">
        <f>IF(N24="","","Relais")</f>
        <v>Relais</v>
      </c>
      <c r="P25" s="96" t="str">
        <f>IF(N24="","",VLOOKUP(N24,$A:$E,4))</f>
        <v>413.12</v>
      </c>
      <c r="Q25" s="96" t="str">
        <f>IF(N24="","",IF(RIGHT(P25,1)="1","V","N"))</f>
        <v>N</v>
      </c>
      <c r="R25" s="97" t="str">
        <f>IF(N24&lt;&gt;"","x","")</f>
        <v>x</v>
      </c>
      <c r="S25" s="100" t="str">
        <f>IF(R25="x",S23,"")</f>
        <v>K-Zug AN</v>
      </c>
      <c r="T25" s="99">
        <f>IF(R25="x",1,"")</f>
        <v>1</v>
      </c>
      <c r="U25" s="100" t="str">
        <f>IF(R25="x","K-Zug AB","")</f>
        <v>K-Zug AB</v>
      </c>
      <c r="V25" s="97">
        <f>IF(R25="x",V23+1,"")</f>
        <v>12</v>
      </c>
      <c r="W25" s="97"/>
      <c r="X25" s="97"/>
      <c r="Y25" s="97"/>
      <c r="Z25" s="99"/>
      <c r="AA25" s="97"/>
      <c r="AB25" s="98"/>
    </row>
    <row r="26" spans="1:28" x14ac:dyDescent="0.25">
      <c r="A26" s="52"/>
      <c r="B26" s="55"/>
      <c r="C26" s="53" t="str">
        <f>IF($B26="","",VLOOKUP($B26,Haltestellen!$A:$C,2))</f>
        <v/>
      </c>
      <c r="D26" s="55"/>
      <c r="E26" s="53" t="str">
        <f>IF($D26="","",VLOOKUP($D26,Haltestellen!$A:$C,2))</f>
        <v/>
      </c>
      <c r="F26" s="52"/>
      <c r="G26" s="86"/>
      <c r="H26" s="56"/>
      <c r="I26" s="52"/>
      <c r="J26" s="127" t="str">
        <f t="shared" si="0"/>
        <v/>
      </c>
      <c r="P26" s="125"/>
    </row>
    <row r="27" spans="1:28" x14ac:dyDescent="0.25">
      <c r="A27" s="52"/>
      <c r="B27" s="55"/>
      <c r="C27" s="53" t="str">
        <f>IF($B27="","",VLOOKUP($B27,Haltestellen!$A:$C,2))</f>
        <v/>
      </c>
      <c r="D27" s="55"/>
      <c r="E27" s="53" t="str">
        <f>IF($D27="","",VLOOKUP($D27,Haltestellen!$A:$C,2))</f>
        <v/>
      </c>
      <c r="F27" s="52"/>
      <c r="G27" s="86"/>
      <c r="H27" s="56"/>
      <c r="I27" s="52"/>
      <c r="J27" s="127" t="str">
        <f t="shared" si="0"/>
        <v/>
      </c>
      <c r="P27" s="58"/>
      <c r="Q27" s="58"/>
    </row>
    <row r="28" spans="1:28" x14ac:dyDescent="0.25">
      <c r="A28" s="52"/>
      <c r="B28" s="55"/>
      <c r="C28" s="53" t="str">
        <f>IF($B28="","",VLOOKUP($B28,Haltestellen!$A:$C,2))</f>
        <v/>
      </c>
      <c r="D28" s="55"/>
      <c r="E28" s="53" t="str">
        <f>IF($D28="","",VLOOKUP($D28,Haltestellen!$A:$C,2))</f>
        <v/>
      </c>
      <c r="F28" s="52"/>
      <c r="G28" s="86"/>
      <c r="H28" s="56"/>
      <c r="I28" s="52"/>
      <c r="J28" s="127" t="str">
        <f t="shared" si="0"/>
        <v/>
      </c>
    </row>
    <row r="29" spans="1:28" x14ac:dyDescent="0.25">
      <c r="A29" s="52"/>
      <c r="B29" s="55"/>
      <c r="C29" s="53" t="str">
        <f>IF($B29="","",VLOOKUP($B29,Haltestellen!$A:$C,2))</f>
        <v/>
      </c>
      <c r="D29" s="55"/>
      <c r="E29" s="53" t="str">
        <f>IF($D29="","",VLOOKUP($D29,Haltestellen!$A:$C,2))</f>
        <v/>
      </c>
      <c r="F29" s="52"/>
      <c r="G29" s="86"/>
      <c r="H29" s="56"/>
      <c r="I29" s="52"/>
      <c r="J29" s="127" t="str">
        <f t="shared" si="0"/>
        <v/>
      </c>
    </row>
    <row r="30" spans="1:28" x14ac:dyDescent="0.25">
      <c r="A30" s="52"/>
      <c r="B30" s="55"/>
      <c r="C30" s="53" t="str">
        <f>IF($B30="","",VLOOKUP($B30,Haltestellen!$A:$C,2))</f>
        <v/>
      </c>
      <c r="D30" s="55"/>
      <c r="E30" s="53" t="str">
        <f>IF($D30="","",VLOOKUP($D30,Haltestellen!$A:$C,2))</f>
        <v/>
      </c>
      <c r="F30" s="52"/>
      <c r="G30" s="86"/>
      <c r="H30" s="56"/>
      <c r="I30" s="52"/>
      <c r="J30" s="127" t="str">
        <f t="shared" si="0"/>
        <v/>
      </c>
    </row>
    <row r="31" spans="1:28" x14ac:dyDescent="0.25">
      <c r="A31" s="52"/>
      <c r="B31" s="55"/>
      <c r="C31" s="53" t="str">
        <f>IF($B31="","",VLOOKUP($B31,Haltestellen!$A:$C,2))</f>
        <v/>
      </c>
      <c r="D31" s="55"/>
      <c r="E31" s="53" t="str">
        <f>IF($D31="","",VLOOKUP($D31,Haltestellen!$A:$C,2))</f>
        <v/>
      </c>
      <c r="F31" s="52"/>
      <c r="G31" s="86"/>
      <c r="H31" s="56"/>
      <c r="I31" s="52"/>
      <c r="J31" s="127" t="str">
        <f t="shared" si="0"/>
        <v/>
      </c>
    </row>
    <row r="32" spans="1:28" x14ac:dyDescent="0.25">
      <c r="A32" s="52"/>
      <c r="B32" s="55"/>
      <c r="C32" s="53" t="str">
        <f>IF($B32="","",VLOOKUP($B32,Haltestellen!$A:$C,2))</f>
        <v/>
      </c>
      <c r="D32" s="55"/>
      <c r="E32" s="53" t="str">
        <f>IF($D32="","",VLOOKUP($D32,Haltestellen!$A:$C,2))</f>
        <v/>
      </c>
      <c r="F32" s="52"/>
      <c r="G32" s="86"/>
      <c r="H32" s="56"/>
      <c r="I32" s="52"/>
      <c r="J32" s="127" t="str">
        <f t="shared" si="0"/>
        <v/>
      </c>
    </row>
    <row r="33" spans="1:10" x14ac:dyDescent="0.25">
      <c r="A33" s="52"/>
      <c r="B33" s="55"/>
      <c r="C33" s="53" t="str">
        <f>IF($B33="","",VLOOKUP($B33,Haltestellen!$A:$C,2))</f>
        <v/>
      </c>
      <c r="D33" s="55"/>
      <c r="E33" s="53" t="str">
        <f>IF($D33="","",VLOOKUP($D33,Haltestellen!$A:$C,2))</f>
        <v/>
      </c>
      <c r="F33" s="52"/>
      <c r="G33" s="86"/>
      <c r="H33" s="56"/>
      <c r="I33" s="52"/>
      <c r="J33" s="127" t="str">
        <f t="shared" si="0"/>
        <v/>
      </c>
    </row>
    <row r="34" spans="1:10" x14ac:dyDescent="0.25">
      <c r="A34" s="52"/>
      <c r="B34" s="55"/>
      <c r="C34" s="53" t="str">
        <f>IF($B34="","",VLOOKUP($B34,Haltestellen!$A:$C,2))</f>
        <v/>
      </c>
      <c r="D34" s="55"/>
      <c r="E34" s="53" t="str">
        <f>IF($D34="","",VLOOKUP($D34,Haltestellen!$A:$C,2))</f>
        <v/>
      </c>
      <c r="F34" s="52"/>
      <c r="G34" s="86"/>
      <c r="H34" s="56"/>
      <c r="I34" s="52"/>
      <c r="J34" s="127" t="str">
        <f t="shared" si="0"/>
        <v/>
      </c>
    </row>
    <row r="35" spans="1:10" x14ac:dyDescent="0.25">
      <c r="A35" s="52"/>
      <c r="B35" s="55"/>
      <c r="C35" s="53" t="str">
        <f>IF($B35="","",VLOOKUP($B35,Haltestellen!$A:$C,2))</f>
        <v/>
      </c>
      <c r="D35" s="55"/>
      <c r="E35" s="53" t="str">
        <f>IF($D35="","",VLOOKUP($D35,Haltestellen!$A:$C,2))</f>
        <v/>
      </c>
      <c r="F35" s="52"/>
      <c r="G35" s="86"/>
      <c r="H35" s="56"/>
      <c r="I35" s="52"/>
      <c r="J35" s="127" t="str">
        <f t="shared" si="0"/>
        <v/>
      </c>
    </row>
    <row r="36" spans="1:10" x14ac:dyDescent="0.25">
      <c r="A36" s="52"/>
      <c r="B36" s="55"/>
      <c r="C36" s="53" t="str">
        <f>IF($B36="","",VLOOKUP($B36,Haltestellen!$A:$C,2))</f>
        <v/>
      </c>
      <c r="D36" s="55"/>
      <c r="E36" s="53" t="str">
        <f>IF($D36="","",VLOOKUP($D36,Haltestellen!$A:$C,2))</f>
        <v/>
      </c>
      <c r="F36" s="52"/>
      <c r="G36" s="86"/>
      <c r="H36" s="56"/>
      <c r="I36" s="52"/>
      <c r="J36" s="127" t="str">
        <f t="shared" si="0"/>
        <v/>
      </c>
    </row>
    <row r="37" spans="1:10" x14ac:dyDescent="0.25">
      <c r="A37" s="52"/>
      <c r="B37" s="55"/>
      <c r="C37" s="53" t="str">
        <f>IF($B37="","",VLOOKUP($B37,Haltestellen!$A:$C,2))</f>
        <v/>
      </c>
      <c r="D37" s="55"/>
      <c r="E37" s="53" t="str">
        <f>IF($D37="","",VLOOKUP($D37,Haltestellen!$A:$C,2))</f>
        <v/>
      </c>
      <c r="F37" s="52"/>
      <c r="G37" s="86"/>
      <c r="H37" s="56"/>
      <c r="I37" s="52"/>
      <c r="J37" s="127" t="str">
        <f t="shared" si="0"/>
        <v/>
      </c>
    </row>
    <row r="38" spans="1:10" x14ac:dyDescent="0.25">
      <c r="A38" s="52"/>
      <c r="B38" s="55"/>
      <c r="C38" s="53" t="str">
        <f>IF($B38="","",VLOOKUP($B38,Haltestellen!$A:$C,2))</f>
        <v/>
      </c>
      <c r="D38" s="55"/>
      <c r="E38" s="53" t="str">
        <f>IF($D38="","",VLOOKUP($D38,Haltestellen!$A:$C,2))</f>
        <v/>
      </c>
      <c r="F38" s="52"/>
      <c r="G38" s="86"/>
      <c r="H38" s="56"/>
      <c r="I38" s="52"/>
      <c r="J38" s="127" t="str">
        <f t="shared" si="0"/>
        <v/>
      </c>
    </row>
    <row r="45" spans="1:10" x14ac:dyDescent="0.25">
      <c r="B45" s="59" t="e">
        <f>MAX(#REF!)</f>
        <v>#REF!</v>
      </c>
    </row>
    <row r="46" spans="1:10" x14ac:dyDescent="0.25">
      <c r="B46" s="59" t="e">
        <f>MIN(#REF!)</f>
        <v>#REF!</v>
      </c>
    </row>
    <row r="47" spans="1:10" x14ac:dyDescent="0.25">
      <c r="B47" s="59" t="e">
        <f>MEDIAN(#REF!)</f>
        <v>#REF!</v>
      </c>
    </row>
  </sheetData>
  <autoFilter ref="B1:E47" xr:uid="{D4DC7ACD-2537-4F70-9140-749F8DEADD91}"/>
  <mergeCells count="42">
    <mergeCell ref="AA1:AB1"/>
    <mergeCell ref="M1:N1"/>
    <mergeCell ref="P1:Q1"/>
    <mergeCell ref="S1:T1"/>
    <mergeCell ref="U1:V1"/>
    <mergeCell ref="Y1:Z1"/>
    <mergeCell ref="L2:L3"/>
    <mergeCell ref="M2:M3"/>
    <mergeCell ref="N2:N3"/>
    <mergeCell ref="L4:L5"/>
    <mergeCell ref="M4:M5"/>
    <mergeCell ref="N4:N5"/>
    <mergeCell ref="L6:L7"/>
    <mergeCell ref="M6:M7"/>
    <mergeCell ref="N6:N7"/>
    <mergeCell ref="L8:L9"/>
    <mergeCell ref="M8:M9"/>
    <mergeCell ref="N8:N9"/>
    <mergeCell ref="L10:L11"/>
    <mergeCell ref="M10:M11"/>
    <mergeCell ref="N10:N11"/>
    <mergeCell ref="L12:L13"/>
    <mergeCell ref="M12:M13"/>
    <mergeCell ref="N12:N13"/>
    <mergeCell ref="L14:L15"/>
    <mergeCell ref="M14:M15"/>
    <mergeCell ref="N14:N15"/>
    <mergeCell ref="L16:L17"/>
    <mergeCell ref="M16:M17"/>
    <mergeCell ref="N16:N17"/>
    <mergeCell ref="L18:L19"/>
    <mergeCell ref="M18:M19"/>
    <mergeCell ref="N18:N19"/>
    <mergeCell ref="L20:L21"/>
    <mergeCell ref="M20:M21"/>
    <mergeCell ref="N20:N21"/>
    <mergeCell ref="L22:L23"/>
    <mergeCell ref="M22:M23"/>
    <mergeCell ref="N22:N23"/>
    <mergeCell ref="L24:L25"/>
    <mergeCell ref="M24:M25"/>
    <mergeCell ref="N24:N25"/>
  </mergeCells>
  <conditionalFormatting sqref="Y2:Z3 Y26:Z1048576 Y1">
    <cfRule type="cellIs" dxfId="317" priority="184" operator="notEqual">
      <formula>""</formula>
    </cfRule>
  </conditionalFormatting>
  <conditionalFormatting sqref="U2:V3 U26:V1048576 U1">
    <cfRule type="cellIs" dxfId="316" priority="183" operator="notEqual">
      <formula>""</formula>
    </cfRule>
  </conditionalFormatting>
  <conditionalFormatting sqref="S2:T3 S26:T1048576 S1">
    <cfRule type="cellIs" dxfId="315" priority="182" operator="notEqual">
      <formula>""</formula>
    </cfRule>
  </conditionalFormatting>
  <conditionalFormatting sqref="X2">
    <cfRule type="cellIs" dxfId="314" priority="181" operator="equal">
      <formula>"x"</formula>
    </cfRule>
  </conditionalFormatting>
  <conditionalFormatting sqref="X1:X3 X26:X1048576">
    <cfRule type="cellIs" dxfId="313" priority="180" operator="equal">
      <formula>"x"</formula>
    </cfRule>
  </conditionalFormatting>
  <conditionalFormatting sqref="AA2:AB3 AA26:AB1048576 AA1">
    <cfRule type="cellIs" dxfId="312" priority="179" operator="notEqual">
      <formula>""</formula>
    </cfRule>
  </conditionalFormatting>
  <conditionalFormatting sqref="X20:X21">
    <cfRule type="cellIs" dxfId="311" priority="117" operator="equal">
      <formula>"x"</formula>
    </cfRule>
  </conditionalFormatting>
  <conditionalFormatting sqref="AA21:AB21">
    <cfRule type="cellIs" dxfId="310" priority="116" operator="notEqual">
      <formula>""</formula>
    </cfRule>
  </conditionalFormatting>
  <conditionalFormatting sqref="R1:R3 R26:R1048576">
    <cfRule type="cellIs" dxfId="309" priority="178" operator="equal">
      <formula>"x"</formula>
    </cfRule>
  </conditionalFormatting>
  <conditionalFormatting sqref="Y5:Z5 Z4">
    <cfRule type="cellIs" dxfId="308" priority="177" operator="notEqual">
      <formula>""</formula>
    </cfRule>
  </conditionalFormatting>
  <conditionalFormatting sqref="U4:V4 V5">
    <cfRule type="cellIs" dxfId="307" priority="176" operator="notEqual">
      <formula>""</formula>
    </cfRule>
  </conditionalFormatting>
  <conditionalFormatting sqref="S4:T4 S5">
    <cfRule type="cellIs" dxfId="306" priority="175" operator="notEqual">
      <formula>""</formula>
    </cfRule>
  </conditionalFormatting>
  <conditionalFormatting sqref="X4">
    <cfRule type="cellIs" dxfId="305" priority="174" operator="equal">
      <formula>"x"</formula>
    </cfRule>
  </conditionalFormatting>
  <conditionalFormatting sqref="X4:X5">
    <cfRule type="cellIs" dxfId="304" priority="173" operator="equal">
      <formula>"x"</formula>
    </cfRule>
  </conditionalFormatting>
  <conditionalFormatting sqref="AA5:AB5 AB4">
    <cfRule type="cellIs" dxfId="303" priority="172" operator="notEqual">
      <formula>""</formula>
    </cfRule>
  </conditionalFormatting>
  <conditionalFormatting sqref="R4:R5">
    <cfRule type="cellIs" dxfId="302" priority="171" operator="equal">
      <formula>"x"</formula>
    </cfRule>
  </conditionalFormatting>
  <conditionalFormatting sqref="Y7:Z7">
    <cfRule type="cellIs" dxfId="301" priority="170" operator="notEqual">
      <formula>""</formula>
    </cfRule>
  </conditionalFormatting>
  <conditionalFormatting sqref="U6:V6">
    <cfRule type="cellIs" dxfId="300" priority="169" operator="notEqual">
      <formula>""</formula>
    </cfRule>
  </conditionalFormatting>
  <conditionalFormatting sqref="S6:T6">
    <cfRule type="cellIs" dxfId="299" priority="168" operator="notEqual">
      <formula>""</formula>
    </cfRule>
  </conditionalFormatting>
  <conditionalFormatting sqref="X6">
    <cfRule type="cellIs" dxfId="298" priority="167" operator="equal">
      <formula>"x"</formula>
    </cfRule>
  </conditionalFormatting>
  <conditionalFormatting sqref="X6:X7">
    <cfRule type="cellIs" dxfId="297" priority="166" operator="equal">
      <formula>"x"</formula>
    </cfRule>
  </conditionalFormatting>
  <conditionalFormatting sqref="AA7:AB7">
    <cfRule type="cellIs" dxfId="296" priority="165" operator="notEqual">
      <formula>""</formula>
    </cfRule>
  </conditionalFormatting>
  <conditionalFormatting sqref="R6:R7">
    <cfRule type="cellIs" dxfId="295" priority="164" operator="equal">
      <formula>"x"</formula>
    </cfRule>
  </conditionalFormatting>
  <conditionalFormatting sqref="Y9:Z9">
    <cfRule type="cellIs" dxfId="294" priority="163" operator="notEqual">
      <formula>""</formula>
    </cfRule>
  </conditionalFormatting>
  <conditionalFormatting sqref="U8:V8">
    <cfRule type="cellIs" dxfId="293" priority="162" operator="notEqual">
      <formula>""</formula>
    </cfRule>
  </conditionalFormatting>
  <conditionalFormatting sqref="S8:T8">
    <cfRule type="cellIs" dxfId="292" priority="161" operator="notEqual">
      <formula>""</formula>
    </cfRule>
  </conditionalFormatting>
  <conditionalFormatting sqref="X8">
    <cfRule type="cellIs" dxfId="291" priority="160" operator="equal">
      <formula>"x"</formula>
    </cfRule>
  </conditionalFormatting>
  <conditionalFormatting sqref="X8:X9">
    <cfRule type="cellIs" dxfId="290" priority="159" operator="equal">
      <formula>"x"</formula>
    </cfRule>
  </conditionalFormatting>
  <conditionalFormatting sqref="AA9:AB9">
    <cfRule type="cellIs" dxfId="289" priority="158" operator="notEqual">
      <formula>""</formula>
    </cfRule>
  </conditionalFormatting>
  <conditionalFormatting sqref="R8:R9">
    <cfRule type="cellIs" dxfId="288" priority="157" operator="equal">
      <formula>"x"</formula>
    </cfRule>
  </conditionalFormatting>
  <conditionalFormatting sqref="Y11:Z11">
    <cfRule type="cellIs" dxfId="287" priority="156" operator="notEqual">
      <formula>""</formula>
    </cfRule>
  </conditionalFormatting>
  <conditionalFormatting sqref="U10:V10">
    <cfRule type="cellIs" dxfId="286" priority="155" operator="notEqual">
      <formula>""</formula>
    </cfRule>
  </conditionalFormatting>
  <conditionalFormatting sqref="S10:T10">
    <cfRule type="cellIs" dxfId="285" priority="154" operator="notEqual">
      <formula>""</formula>
    </cfRule>
  </conditionalFormatting>
  <conditionalFormatting sqref="X10">
    <cfRule type="cellIs" dxfId="284" priority="153" operator="equal">
      <formula>"x"</formula>
    </cfRule>
  </conditionalFormatting>
  <conditionalFormatting sqref="X10:X11">
    <cfRule type="cellIs" dxfId="283" priority="152" operator="equal">
      <formula>"x"</formula>
    </cfRule>
  </conditionalFormatting>
  <conditionalFormatting sqref="AA11:AB11">
    <cfRule type="cellIs" dxfId="282" priority="151" operator="notEqual">
      <formula>""</formula>
    </cfRule>
  </conditionalFormatting>
  <conditionalFormatting sqref="R10:R11">
    <cfRule type="cellIs" dxfId="281" priority="150" operator="equal">
      <formula>"x"</formula>
    </cfRule>
  </conditionalFormatting>
  <conditionalFormatting sqref="Y13:Z13">
    <cfRule type="cellIs" dxfId="280" priority="149" operator="notEqual">
      <formula>""</formula>
    </cfRule>
  </conditionalFormatting>
  <conditionalFormatting sqref="U12:V12">
    <cfRule type="cellIs" dxfId="279" priority="148" operator="notEqual">
      <formula>""</formula>
    </cfRule>
  </conditionalFormatting>
  <conditionalFormatting sqref="S12:T12">
    <cfRule type="cellIs" dxfId="278" priority="147" operator="notEqual">
      <formula>""</formula>
    </cfRule>
  </conditionalFormatting>
  <conditionalFormatting sqref="X12">
    <cfRule type="cellIs" dxfId="277" priority="146" operator="equal">
      <formula>"x"</formula>
    </cfRule>
  </conditionalFormatting>
  <conditionalFormatting sqref="X12:X13">
    <cfRule type="cellIs" dxfId="276" priority="145" operator="equal">
      <formula>"x"</formula>
    </cfRule>
  </conditionalFormatting>
  <conditionalFormatting sqref="AA13:AB13">
    <cfRule type="cellIs" dxfId="275" priority="144" operator="notEqual">
      <formula>""</formula>
    </cfRule>
  </conditionalFormatting>
  <conditionalFormatting sqref="R12:R13">
    <cfRule type="cellIs" dxfId="274" priority="143" operator="equal">
      <formula>"x"</formula>
    </cfRule>
  </conditionalFormatting>
  <conditionalFormatting sqref="Y15:Z15">
    <cfRule type="cellIs" dxfId="273" priority="142" operator="notEqual">
      <formula>""</formula>
    </cfRule>
  </conditionalFormatting>
  <conditionalFormatting sqref="U14:V14">
    <cfRule type="cellIs" dxfId="272" priority="141" operator="notEqual">
      <formula>""</formula>
    </cfRule>
  </conditionalFormatting>
  <conditionalFormatting sqref="S14:T14">
    <cfRule type="cellIs" dxfId="271" priority="140" operator="notEqual">
      <formula>""</formula>
    </cfRule>
  </conditionalFormatting>
  <conditionalFormatting sqref="X14">
    <cfRule type="cellIs" dxfId="270" priority="139" operator="equal">
      <formula>"x"</formula>
    </cfRule>
  </conditionalFormatting>
  <conditionalFormatting sqref="X14:X15">
    <cfRule type="cellIs" dxfId="269" priority="138" operator="equal">
      <formula>"x"</formula>
    </cfRule>
  </conditionalFormatting>
  <conditionalFormatting sqref="AA15:AB15">
    <cfRule type="cellIs" dxfId="268" priority="137" operator="notEqual">
      <formula>""</formula>
    </cfRule>
  </conditionalFormatting>
  <conditionalFormatting sqref="R14:R15">
    <cfRule type="cellIs" dxfId="267" priority="136" operator="equal">
      <formula>"x"</formula>
    </cfRule>
  </conditionalFormatting>
  <conditionalFormatting sqref="Y17:Z17">
    <cfRule type="cellIs" dxfId="266" priority="135" operator="notEqual">
      <formula>""</formula>
    </cfRule>
  </conditionalFormatting>
  <conditionalFormatting sqref="U16:V16">
    <cfRule type="cellIs" dxfId="265" priority="134" operator="notEqual">
      <formula>""</formula>
    </cfRule>
  </conditionalFormatting>
  <conditionalFormatting sqref="S16:T16">
    <cfRule type="cellIs" dxfId="264" priority="133" operator="notEqual">
      <formula>""</formula>
    </cfRule>
  </conditionalFormatting>
  <conditionalFormatting sqref="X16">
    <cfRule type="cellIs" dxfId="263" priority="132" operator="equal">
      <formula>"x"</formula>
    </cfRule>
  </conditionalFormatting>
  <conditionalFormatting sqref="X16:X17">
    <cfRule type="cellIs" dxfId="262" priority="131" operator="equal">
      <formula>"x"</formula>
    </cfRule>
  </conditionalFormatting>
  <conditionalFormatting sqref="AA17:AB17">
    <cfRule type="cellIs" dxfId="261" priority="130" operator="notEqual">
      <formula>""</formula>
    </cfRule>
  </conditionalFormatting>
  <conditionalFormatting sqref="R16:R17">
    <cfRule type="cellIs" dxfId="260" priority="129" operator="equal">
      <formula>"x"</formula>
    </cfRule>
  </conditionalFormatting>
  <conditionalFormatting sqref="Y19:Z19">
    <cfRule type="cellIs" dxfId="259" priority="128" operator="notEqual">
      <formula>""</formula>
    </cfRule>
  </conditionalFormatting>
  <conditionalFormatting sqref="U18:V18">
    <cfRule type="cellIs" dxfId="258" priority="127" operator="notEqual">
      <formula>""</formula>
    </cfRule>
  </conditionalFormatting>
  <conditionalFormatting sqref="S18:T18">
    <cfRule type="cellIs" dxfId="257" priority="126" operator="notEqual">
      <formula>""</formula>
    </cfRule>
  </conditionalFormatting>
  <conditionalFormatting sqref="X18">
    <cfRule type="cellIs" dxfId="256" priority="125" operator="equal">
      <formula>"x"</formula>
    </cfRule>
  </conditionalFormatting>
  <conditionalFormatting sqref="X18:X19">
    <cfRule type="cellIs" dxfId="255" priority="124" operator="equal">
      <formula>"x"</formula>
    </cfRule>
  </conditionalFormatting>
  <conditionalFormatting sqref="AA19:AB19">
    <cfRule type="cellIs" dxfId="254" priority="123" operator="notEqual">
      <formula>""</formula>
    </cfRule>
  </conditionalFormatting>
  <conditionalFormatting sqref="R18:R19">
    <cfRule type="cellIs" dxfId="253" priority="122" operator="equal">
      <formula>"x"</formula>
    </cfRule>
  </conditionalFormatting>
  <conditionalFormatting sqref="Y21:Z21">
    <cfRule type="cellIs" dxfId="252" priority="121" operator="notEqual">
      <formula>""</formula>
    </cfRule>
  </conditionalFormatting>
  <conditionalFormatting sqref="U20:V20">
    <cfRule type="cellIs" dxfId="251" priority="120" operator="notEqual">
      <formula>""</formula>
    </cfRule>
  </conditionalFormatting>
  <conditionalFormatting sqref="S20:T20">
    <cfRule type="cellIs" dxfId="250" priority="119" operator="notEqual">
      <formula>""</formula>
    </cfRule>
  </conditionalFormatting>
  <conditionalFormatting sqref="X20">
    <cfRule type="cellIs" dxfId="249" priority="118" operator="equal">
      <formula>"x"</formula>
    </cfRule>
  </conditionalFormatting>
  <conditionalFormatting sqref="U19">
    <cfRule type="cellIs" dxfId="248" priority="82" operator="notEqual">
      <formula>""</formula>
    </cfRule>
  </conditionalFormatting>
  <conditionalFormatting sqref="R20:R21">
    <cfRule type="cellIs" dxfId="247" priority="115" operator="equal">
      <formula>"x"</formula>
    </cfRule>
  </conditionalFormatting>
  <conditionalFormatting sqref="T5">
    <cfRule type="cellIs" dxfId="246" priority="114" operator="notEqual">
      <formula>""</formula>
    </cfRule>
  </conditionalFormatting>
  <conditionalFormatting sqref="T7">
    <cfRule type="cellIs" dxfId="245" priority="113" operator="notEqual">
      <formula>""</formula>
    </cfRule>
  </conditionalFormatting>
  <conditionalFormatting sqref="T9">
    <cfRule type="cellIs" dxfId="244" priority="112" operator="notEqual">
      <formula>""</formula>
    </cfRule>
  </conditionalFormatting>
  <conditionalFormatting sqref="T11">
    <cfRule type="cellIs" dxfId="243" priority="111" operator="notEqual">
      <formula>""</formula>
    </cfRule>
  </conditionalFormatting>
  <conditionalFormatting sqref="T13">
    <cfRule type="cellIs" dxfId="242" priority="110" operator="notEqual">
      <formula>""</formula>
    </cfRule>
  </conditionalFormatting>
  <conditionalFormatting sqref="T15">
    <cfRule type="cellIs" dxfId="241" priority="109" operator="notEqual">
      <formula>""</formula>
    </cfRule>
  </conditionalFormatting>
  <conditionalFormatting sqref="T17">
    <cfRule type="cellIs" dxfId="240" priority="108" operator="notEqual">
      <formula>""</formula>
    </cfRule>
  </conditionalFormatting>
  <conditionalFormatting sqref="T19">
    <cfRule type="cellIs" dxfId="239" priority="107" operator="notEqual">
      <formula>""</formula>
    </cfRule>
  </conditionalFormatting>
  <conditionalFormatting sqref="S11">
    <cfRule type="cellIs" dxfId="238" priority="103" operator="notEqual">
      <formula>""</formula>
    </cfRule>
  </conditionalFormatting>
  <conditionalFormatting sqref="S7">
    <cfRule type="cellIs" dxfId="237" priority="105" operator="notEqual">
      <formula>""</formula>
    </cfRule>
  </conditionalFormatting>
  <conditionalFormatting sqref="S9">
    <cfRule type="cellIs" dxfId="236" priority="104" operator="notEqual">
      <formula>""</formula>
    </cfRule>
  </conditionalFormatting>
  <conditionalFormatting sqref="S13">
    <cfRule type="cellIs" dxfId="235" priority="102" operator="notEqual">
      <formula>""</formula>
    </cfRule>
  </conditionalFormatting>
  <conditionalFormatting sqref="S15">
    <cfRule type="cellIs" dxfId="234" priority="101" operator="notEqual">
      <formula>""</formula>
    </cfRule>
  </conditionalFormatting>
  <conditionalFormatting sqref="S17">
    <cfRule type="cellIs" dxfId="233" priority="100" operator="notEqual">
      <formula>""</formula>
    </cfRule>
  </conditionalFormatting>
  <conditionalFormatting sqref="S19">
    <cfRule type="cellIs" dxfId="232" priority="99" operator="notEqual">
      <formula>""</formula>
    </cfRule>
  </conditionalFormatting>
  <conditionalFormatting sqref="S21">
    <cfRule type="cellIs" dxfId="231" priority="98" operator="notEqual">
      <formula>""</formula>
    </cfRule>
  </conditionalFormatting>
  <conditionalFormatting sqref="V7">
    <cfRule type="cellIs" dxfId="230" priority="97" operator="notEqual">
      <formula>""</formula>
    </cfRule>
  </conditionalFormatting>
  <conditionalFormatting sqref="V9">
    <cfRule type="cellIs" dxfId="229" priority="96" operator="notEqual">
      <formula>""</formula>
    </cfRule>
  </conditionalFormatting>
  <conditionalFormatting sqref="V11">
    <cfRule type="cellIs" dxfId="228" priority="95" operator="notEqual">
      <formula>""</formula>
    </cfRule>
  </conditionalFormatting>
  <conditionalFormatting sqref="V13">
    <cfRule type="cellIs" dxfId="227" priority="94" operator="notEqual">
      <formula>""</formula>
    </cfRule>
  </conditionalFormatting>
  <conditionalFormatting sqref="V15">
    <cfRule type="cellIs" dxfId="226" priority="93" operator="notEqual">
      <formula>""</formula>
    </cfRule>
  </conditionalFormatting>
  <conditionalFormatting sqref="V17">
    <cfRule type="cellIs" dxfId="225" priority="92" operator="notEqual">
      <formula>""</formula>
    </cfRule>
  </conditionalFormatting>
  <conditionalFormatting sqref="V19">
    <cfRule type="cellIs" dxfId="224" priority="91" operator="notEqual">
      <formula>""</formula>
    </cfRule>
  </conditionalFormatting>
  <conditionalFormatting sqref="V21">
    <cfRule type="cellIs" dxfId="223" priority="90" operator="notEqual">
      <formula>""</formula>
    </cfRule>
  </conditionalFormatting>
  <conditionalFormatting sqref="U5">
    <cfRule type="cellIs" dxfId="222" priority="89" operator="notEqual">
      <formula>""</formula>
    </cfRule>
  </conditionalFormatting>
  <conditionalFormatting sqref="U7">
    <cfRule type="cellIs" dxfId="221" priority="88" operator="notEqual">
      <formula>""</formula>
    </cfRule>
  </conditionalFormatting>
  <conditionalFormatting sqref="U9">
    <cfRule type="cellIs" dxfId="220" priority="87" operator="notEqual">
      <formula>""</formula>
    </cfRule>
  </conditionalFormatting>
  <conditionalFormatting sqref="U11">
    <cfRule type="cellIs" dxfId="219" priority="86" operator="notEqual">
      <formula>""</formula>
    </cfRule>
  </conditionalFormatting>
  <conditionalFormatting sqref="U13">
    <cfRule type="cellIs" dxfId="218" priority="85" operator="notEqual">
      <formula>""</formula>
    </cfRule>
  </conditionalFormatting>
  <conditionalFormatting sqref="U15">
    <cfRule type="cellIs" dxfId="217" priority="84" operator="notEqual">
      <formula>""</formula>
    </cfRule>
  </conditionalFormatting>
  <conditionalFormatting sqref="U17">
    <cfRule type="cellIs" dxfId="216" priority="83" operator="notEqual">
      <formula>""</formula>
    </cfRule>
  </conditionalFormatting>
  <conditionalFormatting sqref="AA18">
    <cfRule type="cellIs" dxfId="215" priority="48" operator="notEqual">
      <formula>""</formula>
    </cfRule>
  </conditionalFormatting>
  <conditionalFormatting sqref="U21">
    <cfRule type="cellIs" dxfId="214" priority="81" operator="notEqual">
      <formula>""</formula>
    </cfRule>
  </conditionalFormatting>
  <conditionalFormatting sqref="Z6">
    <cfRule type="cellIs" dxfId="213" priority="80" operator="notEqual">
      <formula>""</formula>
    </cfRule>
  </conditionalFormatting>
  <conditionalFormatting sqref="Z8">
    <cfRule type="cellIs" dxfId="212" priority="79" operator="notEqual">
      <formula>""</formula>
    </cfRule>
  </conditionalFormatting>
  <conditionalFormatting sqref="Z10">
    <cfRule type="cellIs" dxfId="211" priority="78" operator="notEqual">
      <formula>""</formula>
    </cfRule>
  </conditionalFormatting>
  <conditionalFormatting sqref="Z12">
    <cfRule type="cellIs" dxfId="210" priority="77" operator="notEqual">
      <formula>""</formula>
    </cfRule>
  </conditionalFormatting>
  <conditionalFormatting sqref="Z14">
    <cfRule type="cellIs" dxfId="209" priority="76" operator="notEqual">
      <formula>""</formula>
    </cfRule>
  </conditionalFormatting>
  <conditionalFormatting sqref="Z16">
    <cfRule type="cellIs" dxfId="208" priority="75" operator="notEqual">
      <formula>""</formula>
    </cfRule>
  </conditionalFormatting>
  <conditionalFormatting sqref="Z18">
    <cfRule type="cellIs" dxfId="207" priority="74" operator="notEqual">
      <formula>""</formula>
    </cfRule>
  </conditionalFormatting>
  <conditionalFormatting sqref="Z20">
    <cfRule type="cellIs" dxfId="206" priority="73" operator="notEqual">
      <formula>""</formula>
    </cfRule>
  </conditionalFormatting>
  <conditionalFormatting sqref="Y4">
    <cfRule type="cellIs" dxfId="205" priority="72" operator="notEqual">
      <formula>""</formula>
    </cfRule>
  </conditionalFormatting>
  <conditionalFormatting sqref="Y6">
    <cfRule type="cellIs" dxfId="204" priority="71" operator="notEqual">
      <formula>""</formula>
    </cfRule>
  </conditionalFormatting>
  <conditionalFormatting sqref="Y8">
    <cfRule type="cellIs" dxfId="203" priority="70" operator="notEqual">
      <formula>""</formula>
    </cfRule>
  </conditionalFormatting>
  <conditionalFormatting sqref="Y10">
    <cfRule type="cellIs" dxfId="202" priority="69" operator="notEqual">
      <formula>""</formula>
    </cfRule>
  </conditionalFormatting>
  <conditionalFormatting sqref="Y12">
    <cfRule type="cellIs" dxfId="201" priority="68" operator="notEqual">
      <formula>""</formula>
    </cfRule>
  </conditionalFormatting>
  <conditionalFormatting sqref="Y14">
    <cfRule type="cellIs" dxfId="200" priority="67" operator="notEqual">
      <formula>""</formula>
    </cfRule>
  </conditionalFormatting>
  <conditionalFormatting sqref="Y16">
    <cfRule type="cellIs" dxfId="199" priority="66" operator="notEqual">
      <formula>""</formula>
    </cfRule>
  </conditionalFormatting>
  <conditionalFormatting sqref="Y18">
    <cfRule type="cellIs" dxfId="198" priority="65" operator="notEqual">
      <formula>""</formula>
    </cfRule>
  </conditionalFormatting>
  <conditionalFormatting sqref="Y20">
    <cfRule type="cellIs" dxfId="197" priority="64" operator="notEqual">
      <formula>""</formula>
    </cfRule>
  </conditionalFormatting>
  <conditionalFormatting sqref="AB6">
    <cfRule type="cellIs" dxfId="196" priority="63" operator="notEqual">
      <formula>""</formula>
    </cfRule>
  </conditionalFormatting>
  <conditionalFormatting sqref="AB8">
    <cfRule type="cellIs" dxfId="195" priority="62" operator="notEqual">
      <formula>""</formula>
    </cfRule>
  </conditionalFormatting>
  <conditionalFormatting sqref="AB10">
    <cfRule type="cellIs" dxfId="194" priority="61" operator="notEqual">
      <formula>""</formula>
    </cfRule>
  </conditionalFormatting>
  <conditionalFormatting sqref="AB12">
    <cfRule type="cellIs" dxfId="193" priority="60" operator="notEqual">
      <formula>""</formula>
    </cfRule>
  </conditionalFormatting>
  <conditionalFormatting sqref="AB14">
    <cfRule type="cellIs" dxfId="192" priority="59" operator="notEqual">
      <formula>""</formula>
    </cfRule>
  </conditionalFormatting>
  <conditionalFormatting sqref="AB16">
    <cfRule type="cellIs" dxfId="191" priority="58" operator="notEqual">
      <formula>""</formula>
    </cfRule>
  </conditionalFormatting>
  <conditionalFormatting sqref="AB18">
    <cfRule type="cellIs" dxfId="190" priority="57" operator="notEqual">
      <formula>""</formula>
    </cfRule>
  </conditionalFormatting>
  <conditionalFormatting sqref="AB20">
    <cfRule type="cellIs" dxfId="189" priority="56" operator="notEqual">
      <formula>""</formula>
    </cfRule>
  </conditionalFormatting>
  <conditionalFormatting sqref="AA4">
    <cfRule type="cellIs" dxfId="188" priority="55" operator="notEqual">
      <formula>""</formula>
    </cfRule>
  </conditionalFormatting>
  <conditionalFormatting sqref="AA6">
    <cfRule type="cellIs" dxfId="187" priority="54" operator="notEqual">
      <formula>""</formula>
    </cfRule>
  </conditionalFormatting>
  <conditionalFormatting sqref="AA8">
    <cfRule type="cellIs" dxfId="186" priority="53" operator="notEqual">
      <formula>""</formula>
    </cfRule>
  </conditionalFormatting>
  <conditionalFormatting sqref="AA10">
    <cfRule type="cellIs" dxfId="185" priority="52" operator="notEqual">
      <formula>""</formula>
    </cfRule>
  </conditionalFormatting>
  <conditionalFormatting sqref="AA12">
    <cfRule type="cellIs" dxfId="184" priority="51" operator="notEqual">
      <formula>""</formula>
    </cfRule>
  </conditionalFormatting>
  <conditionalFormatting sqref="AA14">
    <cfRule type="cellIs" dxfId="183" priority="50" operator="notEqual">
      <formula>""</formula>
    </cfRule>
  </conditionalFormatting>
  <conditionalFormatting sqref="AA16">
    <cfRule type="cellIs" dxfId="182" priority="49" operator="notEqual">
      <formula>""</formula>
    </cfRule>
  </conditionalFormatting>
  <conditionalFormatting sqref="AA20">
    <cfRule type="cellIs" dxfId="181" priority="47" operator="notEqual">
      <formula>""</formula>
    </cfRule>
  </conditionalFormatting>
  <conditionalFormatting sqref="X22:X23">
    <cfRule type="cellIs" dxfId="180" priority="42" operator="equal">
      <formula>"x"</formula>
    </cfRule>
  </conditionalFormatting>
  <conditionalFormatting sqref="AA23:AB23">
    <cfRule type="cellIs" dxfId="179" priority="41" operator="notEqual">
      <formula>""</formula>
    </cfRule>
  </conditionalFormatting>
  <conditionalFormatting sqref="Y23:Z23">
    <cfRule type="cellIs" dxfId="178" priority="46" operator="notEqual">
      <formula>""</formula>
    </cfRule>
  </conditionalFormatting>
  <conditionalFormatting sqref="U22:V22">
    <cfRule type="cellIs" dxfId="177" priority="45" operator="notEqual">
      <formula>""</formula>
    </cfRule>
  </conditionalFormatting>
  <conditionalFormatting sqref="S22:T22">
    <cfRule type="cellIs" dxfId="176" priority="44" operator="notEqual">
      <formula>""</formula>
    </cfRule>
  </conditionalFormatting>
  <conditionalFormatting sqref="X22">
    <cfRule type="cellIs" dxfId="175" priority="43" operator="equal">
      <formula>"x"</formula>
    </cfRule>
  </conditionalFormatting>
  <conditionalFormatting sqref="R22:R23">
    <cfRule type="cellIs" dxfId="174" priority="40" operator="equal">
      <formula>"x"</formula>
    </cfRule>
  </conditionalFormatting>
  <conditionalFormatting sqref="S23">
    <cfRule type="cellIs" dxfId="173" priority="38" operator="notEqual">
      <formula>""</formula>
    </cfRule>
  </conditionalFormatting>
  <conditionalFormatting sqref="V23">
    <cfRule type="cellIs" dxfId="172" priority="37" operator="notEqual">
      <formula>""</formula>
    </cfRule>
  </conditionalFormatting>
  <conditionalFormatting sqref="U23">
    <cfRule type="cellIs" dxfId="171" priority="36" operator="notEqual">
      <formula>""</formula>
    </cfRule>
  </conditionalFormatting>
  <conditionalFormatting sqref="Z22">
    <cfRule type="cellIs" dxfId="170" priority="35" operator="notEqual">
      <formula>""</formula>
    </cfRule>
  </conditionalFormatting>
  <conditionalFormatting sqref="Y22">
    <cfRule type="cellIs" dxfId="169" priority="34" operator="notEqual">
      <formula>""</formula>
    </cfRule>
  </conditionalFormatting>
  <conditionalFormatting sqref="AB22">
    <cfRule type="cellIs" dxfId="168" priority="33" operator="notEqual">
      <formula>""</formula>
    </cfRule>
  </conditionalFormatting>
  <conditionalFormatting sqref="AA22">
    <cfRule type="cellIs" dxfId="167" priority="32" operator="notEqual">
      <formula>""</formula>
    </cfRule>
  </conditionalFormatting>
  <conditionalFormatting sqref="X24:X25">
    <cfRule type="cellIs" dxfId="166" priority="27" operator="equal">
      <formula>"x"</formula>
    </cfRule>
  </conditionalFormatting>
  <conditionalFormatting sqref="AA25:AB25">
    <cfRule type="cellIs" dxfId="165" priority="26" operator="notEqual">
      <formula>""</formula>
    </cfRule>
  </conditionalFormatting>
  <conditionalFormatting sqref="Y25:Z25">
    <cfRule type="cellIs" dxfId="164" priority="31" operator="notEqual">
      <formula>""</formula>
    </cfRule>
  </conditionalFormatting>
  <conditionalFormatting sqref="U24:V24">
    <cfRule type="cellIs" dxfId="163" priority="30" operator="notEqual">
      <formula>""</formula>
    </cfRule>
  </conditionalFormatting>
  <conditionalFormatting sqref="S24:T24">
    <cfRule type="cellIs" dxfId="162" priority="29" operator="notEqual">
      <formula>""</formula>
    </cfRule>
  </conditionalFormatting>
  <conditionalFormatting sqref="X24">
    <cfRule type="cellIs" dxfId="161" priority="28" operator="equal">
      <formula>"x"</formula>
    </cfRule>
  </conditionalFormatting>
  <conditionalFormatting sqref="R24:R25">
    <cfRule type="cellIs" dxfId="160" priority="25" operator="equal">
      <formula>"x"</formula>
    </cfRule>
  </conditionalFormatting>
  <conditionalFormatting sqref="S25">
    <cfRule type="cellIs" dxfId="159" priority="23" operator="notEqual">
      <formula>""</formula>
    </cfRule>
  </conditionalFormatting>
  <conditionalFormatting sqref="V25">
    <cfRule type="cellIs" dxfId="158" priority="22" operator="notEqual">
      <formula>""</formula>
    </cfRule>
  </conditionalFormatting>
  <conditionalFormatting sqref="U25">
    <cfRule type="cellIs" dxfId="157" priority="21" operator="notEqual">
      <formula>""</formula>
    </cfRule>
  </conditionalFormatting>
  <conditionalFormatting sqref="Z24">
    <cfRule type="cellIs" dxfId="156" priority="20" operator="notEqual">
      <formula>""</formula>
    </cfRule>
  </conditionalFormatting>
  <conditionalFormatting sqref="Y24">
    <cfRule type="cellIs" dxfId="155" priority="19" operator="notEqual">
      <formula>""</formula>
    </cfRule>
  </conditionalFormatting>
  <conditionalFormatting sqref="AB24">
    <cfRule type="cellIs" dxfId="154" priority="18" operator="notEqual">
      <formula>""</formula>
    </cfRule>
  </conditionalFormatting>
  <conditionalFormatting sqref="AA24">
    <cfRule type="cellIs" dxfId="153" priority="17" operator="notEqual">
      <formula>""</formula>
    </cfRule>
  </conditionalFormatting>
  <conditionalFormatting sqref="T21">
    <cfRule type="cellIs" dxfId="152" priority="16" operator="notEqual">
      <formula>""</formula>
    </cfRule>
  </conditionalFormatting>
  <conditionalFormatting sqref="T23">
    <cfRule type="cellIs" dxfId="151" priority="15" operator="notEqual">
      <formula>""</formula>
    </cfRule>
  </conditionalFormatting>
  <conditionalFormatting sqref="T25">
    <cfRule type="cellIs" dxfId="150" priority="14" operator="notEqual">
      <formula>""</formula>
    </cfRule>
  </conditionalFormatting>
  <conditionalFormatting sqref="P4">
    <cfRule type="cellIs" dxfId="149" priority="13" operator="notEqual">
      <formula>P3</formula>
    </cfRule>
  </conditionalFormatting>
  <conditionalFormatting sqref="P6">
    <cfRule type="cellIs" dxfId="148" priority="11" operator="notEqual">
      <formula>P5</formula>
    </cfRule>
  </conditionalFormatting>
  <conditionalFormatting sqref="P8">
    <cfRule type="cellIs" dxfId="147" priority="10" operator="notEqual">
      <formula>P7</formula>
    </cfRule>
  </conditionalFormatting>
  <conditionalFormatting sqref="P10">
    <cfRule type="cellIs" dxfId="146" priority="9" operator="notEqual">
      <formula>P9</formula>
    </cfRule>
  </conditionalFormatting>
  <conditionalFormatting sqref="P12">
    <cfRule type="cellIs" dxfId="145" priority="8" operator="notEqual">
      <formula>P11</formula>
    </cfRule>
  </conditionalFormatting>
  <conditionalFormatting sqref="P14">
    <cfRule type="cellIs" dxfId="144" priority="7" operator="notEqual">
      <formula>P13</formula>
    </cfRule>
  </conditionalFormatting>
  <conditionalFormatting sqref="P16">
    <cfRule type="cellIs" dxfId="143" priority="6" operator="notEqual">
      <formula>P15</formula>
    </cfRule>
  </conditionalFormatting>
  <conditionalFormatting sqref="P18">
    <cfRule type="cellIs" dxfId="142" priority="5" operator="notEqual">
      <formula>P17</formula>
    </cfRule>
  </conditionalFormatting>
  <conditionalFormatting sqref="P20">
    <cfRule type="cellIs" dxfId="141" priority="4" operator="notEqual">
      <formula>P19</formula>
    </cfRule>
  </conditionalFormatting>
  <conditionalFormatting sqref="P22">
    <cfRule type="cellIs" dxfId="140" priority="3" operator="notEqual">
      <formula>P21</formula>
    </cfRule>
  </conditionalFormatting>
  <conditionalFormatting sqref="P24">
    <cfRule type="cellIs" dxfId="139" priority="2" operator="notEqual">
      <formula>P23</formula>
    </cfRule>
  </conditionalFormatting>
  <conditionalFormatting sqref="P26">
    <cfRule type="cellIs" dxfId="138" priority="1" operator="notEqual">
      <formula>P25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4788B-7B49-4734-8B79-B3198B3834E7}">
  <sheetPr codeName="Tabelle7">
    <tabColor rgb="FFFFFF00"/>
  </sheetPr>
  <dimension ref="A1:AB47"/>
  <sheetViews>
    <sheetView workbookViewId="0">
      <pane xSplit="2" ySplit="1" topLeftCell="C2" activePane="bottomRight" state="frozen"/>
      <selection activeCell="G2" sqref="G2"/>
      <selection pane="topRight" activeCell="G2" sqref="G2"/>
      <selection pane="bottomLeft" activeCell="G2" sqref="G2"/>
      <selection pane="bottomRight" activeCell="X2" sqref="X2"/>
    </sheetView>
  </sheetViews>
  <sheetFormatPr baseColWidth="10" defaultRowHeight="15" x14ac:dyDescent="0.25"/>
  <cols>
    <col min="1" max="1" width="6.28515625" style="58" bestFit="1" customWidth="1"/>
    <col min="2" max="2" width="8.42578125" bestFit="1" customWidth="1"/>
    <col min="3" max="3" width="19.42578125" bestFit="1" customWidth="1"/>
    <col min="4" max="4" width="7.7109375" bestFit="1" customWidth="1"/>
    <col min="5" max="5" width="18" bestFit="1" customWidth="1"/>
    <col min="6" max="6" width="5.5703125" style="58" bestFit="1" customWidth="1"/>
    <col min="7" max="7" width="8.28515625" bestFit="1" customWidth="1"/>
    <col min="8" max="8" width="7.42578125" style="58" bestFit="1" customWidth="1"/>
    <col min="9" max="9" width="9.28515625" style="58" bestFit="1" customWidth="1"/>
    <col min="10" max="10" width="13.85546875" bestFit="1" customWidth="1"/>
    <col min="11" max="11" width="3" bestFit="1" customWidth="1"/>
    <col min="12" max="12" width="10.7109375" bestFit="1" customWidth="1"/>
    <col min="13" max="13" width="6.28515625" bestFit="1" customWidth="1"/>
    <col min="14" max="14" width="2" bestFit="1" customWidth="1"/>
    <col min="15" max="15" width="6.28515625" style="58" bestFit="1" customWidth="1"/>
    <col min="16" max="16" width="6.5703125" bestFit="1" customWidth="1"/>
    <col min="17" max="17" width="2.42578125" bestFit="1" customWidth="1"/>
    <col min="18" max="18" width="8" style="43" bestFit="1" customWidth="1"/>
    <col min="19" max="19" width="9" style="43" bestFit="1" customWidth="1"/>
    <col min="20" max="20" width="3" style="43" bestFit="1" customWidth="1"/>
    <col min="21" max="21" width="8.7109375" style="43" bestFit="1" customWidth="1"/>
    <col min="22" max="22" width="3" style="43" bestFit="1" customWidth="1"/>
    <col min="23" max="23" width="1.7109375" style="43" customWidth="1"/>
    <col min="24" max="24" width="7.7109375" style="43" bestFit="1" customWidth="1"/>
    <col min="25" max="25" width="8.7109375" style="43" bestFit="1" customWidth="1"/>
    <col min="26" max="26" width="3" style="102" bestFit="1" customWidth="1"/>
    <col min="27" max="27" width="9" style="43" bestFit="1" customWidth="1"/>
    <col min="28" max="28" width="3" style="43" bestFit="1" customWidth="1"/>
  </cols>
  <sheetData>
    <row r="1" spans="1:28" s="51" customFormat="1" x14ac:dyDescent="0.25">
      <c r="A1" s="47" t="s">
        <v>2</v>
      </c>
      <c r="B1" s="48" t="s">
        <v>31</v>
      </c>
      <c r="C1" s="48" t="s">
        <v>32</v>
      </c>
      <c r="D1" s="48" t="s">
        <v>33</v>
      </c>
      <c r="E1" s="48" t="s">
        <v>32</v>
      </c>
      <c r="F1" s="47" t="s">
        <v>5</v>
      </c>
      <c r="G1" s="49" t="s">
        <v>34</v>
      </c>
      <c r="H1" s="48" t="s">
        <v>35</v>
      </c>
      <c r="I1" s="47" t="s">
        <v>47</v>
      </c>
      <c r="J1" s="47" t="s">
        <v>37</v>
      </c>
      <c r="K1" s="50">
        <v>20</v>
      </c>
      <c r="L1" s="51" t="s">
        <v>99</v>
      </c>
      <c r="M1" s="131" t="s">
        <v>100</v>
      </c>
      <c r="N1" s="131"/>
      <c r="O1" s="89" t="s">
        <v>101</v>
      </c>
      <c r="P1" s="131" t="s">
        <v>102</v>
      </c>
      <c r="Q1" s="131"/>
      <c r="R1" s="91" t="s">
        <v>103</v>
      </c>
      <c r="S1" s="139" t="s">
        <v>105</v>
      </c>
      <c r="T1" s="139"/>
      <c r="U1" s="139" t="s">
        <v>106</v>
      </c>
      <c r="V1" s="139"/>
      <c r="W1" s="105"/>
      <c r="X1" s="90" t="s">
        <v>104</v>
      </c>
      <c r="Y1" s="140" t="s">
        <v>105</v>
      </c>
      <c r="Z1" s="140"/>
      <c r="AA1" s="138" t="s">
        <v>106</v>
      </c>
      <c r="AB1" s="138"/>
    </row>
    <row r="2" spans="1:28" x14ac:dyDescent="0.25">
      <c r="A2" s="52">
        <v>1</v>
      </c>
      <c r="B2" s="53" t="s">
        <v>77</v>
      </c>
      <c r="C2" s="53" t="str">
        <f>IF($B2="","",VLOOKUP($B2,Haltestellen!$A:$C,2))</f>
        <v>GBF Gl.8/N</v>
      </c>
      <c r="D2" s="53" t="s">
        <v>113</v>
      </c>
      <c r="E2" s="53" t="str">
        <f>IF($D2="","",VLOOKUP($D2,Haltestellen!$A:$C,2))</f>
        <v>GBF Gl.9/V</v>
      </c>
      <c r="F2" s="54">
        <v>6.9444444444444397E-3</v>
      </c>
      <c r="G2" s="55"/>
      <c r="H2" s="52"/>
      <c r="I2" s="56">
        <v>1.0416666666666701E-2</v>
      </c>
      <c r="J2" s="57" t="str">
        <f t="shared" ref="J2:J38" si="0">IF(H2="","",H2*24/60*$K$1)</f>
        <v/>
      </c>
      <c r="L2" s="134" t="s">
        <v>107</v>
      </c>
      <c r="M2" s="136" t="str">
        <f>IF(N2&lt;&gt;"","Route","")</f>
        <v>Route</v>
      </c>
      <c r="N2" s="141">
        <v>1</v>
      </c>
      <c r="O2" s="92" t="str">
        <f>IF(N2="","","Relais")</f>
        <v>Relais</v>
      </c>
      <c r="P2" s="93" t="str">
        <f>IF(N2="","",VLOOKUP(N2,$A:$E,2))</f>
        <v>314.12</v>
      </c>
      <c r="Q2" s="93" t="str">
        <f>IF(N2="","",IF(RIGHT(P2,1)="1","V","N"))</f>
        <v>N</v>
      </c>
      <c r="R2" s="94"/>
      <c r="S2" s="101"/>
      <c r="T2" s="94"/>
      <c r="U2" s="94"/>
      <c r="V2" s="94"/>
      <c r="W2" s="94"/>
      <c r="X2" s="94" t="str">
        <f>IF(N2&lt;&gt;"","x","")</f>
        <v>x</v>
      </c>
      <c r="Y2" s="101" t="str">
        <f>IF(X2="x","R-Lok AB","")</f>
        <v>R-Lok AB</v>
      </c>
      <c r="Z2" s="103">
        <f>IF(X2="x",1,"")</f>
        <v>1</v>
      </c>
      <c r="AA2" s="101" t="str">
        <f>IF(X2="x","R-Lok AN","")</f>
        <v>R-Lok AN</v>
      </c>
      <c r="AB2" s="104">
        <f>IF(X2="x",1,"")</f>
        <v>1</v>
      </c>
    </row>
    <row r="3" spans="1:28" x14ac:dyDescent="0.25">
      <c r="A3" s="52">
        <v>2</v>
      </c>
      <c r="B3" s="55" t="s">
        <v>113</v>
      </c>
      <c r="C3" s="53" t="str">
        <f>IF($B3="","",VLOOKUP($B3,Haltestellen!$A:$C,2))</f>
        <v>GBF Gl.9/V</v>
      </c>
      <c r="D3" s="55" t="s">
        <v>55</v>
      </c>
      <c r="E3" s="53" t="str">
        <f>IF($D3="","",VLOOKUP($D3,Haltestellen!$A:$C,2))</f>
        <v>GBF Gl.7/V</v>
      </c>
      <c r="F3" s="56">
        <v>6.9444444444444397E-3</v>
      </c>
      <c r="G3" s="55"/>
      <c r="H3" s="52"/>
      <c r="I3" s="56">
        <v>6.9444444444444397E-3</v>
      </c>
      <c r="J3" s="57" t="str">
        <f t="shared" si="0"/>
        <v/>
      </c>
      <c r="L3" s="135"/>
      <c r="M3" s="137"/>
      <c r="N3" s="142"/>
      <c r="O3" s="95" t="str">
        <f>IF(N2="","","Relais")</f>
        <v>Relais</v>
      </c>
      <c r="P3" s="96" t="str">
        <f>IF(N2="","",VLOOKUP(N2,$A:$E,4))</f>
        <v>311.21</v>
      </c>
      <c r="Q3" s="96" t="str">
        <f>IF(N2="","",IF(RIGHT(P3,1)="1","V","N"))</f>
        <v>V</v>
      </c>
      <c r="R3" s="97" t="str">
        <f>IF(N2&lt;&gt;"","x","")</f>
        <v>x</v>
      </c>
      <c r="S3" s="100" t="str">
        <f>IF(R3="x","R-Lok AN")</f>
        <v>R-Lok AN</v>
      </c>
      <c r="T3" s="99">
        <v>2</v>
      </c>
      <c r="U3" s="100" t="str">
        <f>IF(R3="x","R-Lok AB","")</f>
        <v>R-Lok AB</v>
      </c>
      <c r="V3" s="97">
        <v>1</v>
      </c>
      <c r="W3" s="97"/>
      <c r="X3" s="97"/>
      <c r="Y3" s="97"/>
      <c r="Z3" s="99"/>
      <c r="AA3" s="97"/>
      <c r="AB3" s="98"/>
    </row>
    <row r="4" spans="1:28" x14ac:dyDescent="0.25">
      <c r="A4" s="52">
        <v>3</v>
      </c>
      <c r="B4" s="55" t="s">
        <v>55</v>
      </c>
      <c r="C4" s="53" t="str">
        <f>IF($B4="","",VLOOKUP($B4,Haltestellen!$A:$C,2))</f>
        <v>GBF Gl.7/V</v>
      </c>
      <c r="D4" s="55" t="s">
        <v>54</v>
      </c>
      <c r="E4" s="53" t="str">
        <f>IF($D4="","",VLOOKUP($D4,Haltestellen!$A:$C,2))</f>
        <v>GBF Gl.8/V</v>
      </c>
      <c r="F4" s="56">
        <v>6.9444444444444397E-3</v>
      </c>
      <c r="G4" s="55"/>
      <c r="H4" s="52"/>
      <c r="I4" s="56">
        <v>1.38888888888889E-2</v>
      </c>
      <c r="J4" s="57" t="str">
        <f t="shared" si="0"/>
        <v/>
      </c>
      <c r="L4" s="134" t="s">
        <v>108</v>
      </c>
      <c r="M4" s="136" t="str">
        <f>IF(N4&lt;&gt;"","Route","")</f>
        <v>Route</v>
      </c>
      <c r="N4" s="141">
        <v>2</v>
      </c>
      <c r="O4" s="92" t="str">
        <f>IF(N4="","","Relais")</f>
        <v>Relais</v>
      </c>
      <c r="P4" s="93" t="str">
        <f>IF(N4="","",VLOOKUP(N4,$A:$E,2))</f>
        <v>311.21</v>
      </c>
      <c r="Q4" s="93" t="str">
        <f>IF(N4="","",IF(RIGHT(P4,1)="1","V","N"))</f>
        <v>V</v>
      </c>
      <c r="R4" s="94"/>
      <c r="S4" s="101"/>
      <c r="T4" s="94"/>
      <c r="U4" s="94"/>
      <c r="V4" s="94"/>
      <c r="W4" s="94"/>
      <c r="X4" s="94" t="str">
        <f>IF(N4&lt;&gt;"","x","")</f>
        <v>x</v>
      </c>
      <c r="Y4" s="101" t="str">
        <f>IF(X4="x","R-Lok AB","")</f>
        <v>R-Lok AB</v>
      </c>
      <c r="Z4" s="103">
        <f>IF(X4="x",Z2+1,"")</f>
        <v>2</v>
      </c>
      <c r="AA4" s="101" t="str">
        <f>IF(X4="x","R-Lok AN","")</f>
        <v>R-Lok AN</v>
      </c>
      <c r="AB4" s="104">
        <f>IF(X4="x",AB2+1,"")</f>
        <v>2</v>
      </c>
    </row>
    <row r="5" spans="1:28" x14ac:dyDescent="0.25">
      <c r="A5" s="52">
        <v>4</v>
      </c>
      <c r="B5" s="55" t="s">
        <v>54</v>
      </c>
      <c r="C5" s="53" t="str">
        <f>IF($B5="","",VLOOKUP($B5,Haltestellen!$A:$C,2))</f>
        <v>GBF Gl.8/V</v>
      </c>
      <c r="D5" s="55" t="s">
        <v>56</v>
      </c>
      <c r="E5" s="53" t="str">
        <f>IF($D5="","",VLOOKUP($D5,Haltestellen!$A:$C,2))</f>
        <v>GBF Gl.6/V</v>
      </c>
      <c r="F5" s="56">
        <v>6.9444444444444397E-3</v>
      </c>
      <c r="G5" s="55"/>
      <c r="H5" s="52"/>
      <c r="I5" s="56">
        <v>3.4722222222222199E-3</v>
      </c>
      <c r="J5" s="57" t="str">
        <f t="shared" si="0"/>
        <v/>
      </c>
      <c r="L5" s="135"/>
      <c r="M5" s="137"/>
      <c r="N5" s="142"/>
      <c r="O5" s="95" t="str">
        <f>IF(N4="","","Relais")</f>
        <v>Relais</v>
      </c>
      <c r="P5" s="96" t="str">
        <f>IF(N4="","",VLOOKUP(N4,$A:$E,4))</f>
        <v>313.11</v>
      </c>
      <c r="Q5" s="96" t="str">
        <f>IF(N4="","",IF(RIGHT(P5,1)="1","V","N"))</f>
        <v>V</v>
      </c>
      <c r="R5" s="97" t="str">
        <f>IF(N4&lt;&gt;"","x","")</f>
        <v>x</v>
      </c>
      <c r="S5" s="100" t="str">
        <f>IF(R5="x",S3,"")</f>
        <v>R-Lok AN</v>
      </c>
      <c r="T5" s="99">
        <f>IF(R5="x",T3+1,"")</f>
        <v>3</v>
      </c>
      <c r="U5" s="100" t="str">
        <f>IF(R5="x","R-Lok AB","")</f>
        <v>R-Lok AB</v>
      </c>
      <c r="V5" s="97">
        <f>IF(R5="x",V3+1,"")</f>
        <v>2</v>
      </c>
      <c r="W5" s="97"/>
      <c r="X5" s="97"/>
      <c r="Y5" s="97"/>
      <c r="Z5" s="99"/>
      <c r="AA5" s="97"/>
      <c r="AB5" s="98"/>
    </row>
    <row r="6" spans="1:28" x14ac:dyDescent="0.25">
      <c r="A6" s="52">
        <v>5</v>
      </c>
      <c r="B6" s="55" t="s">
        <v>56</v>
      </c>
      <c r="C6" s="53" t="str">
        <f>IF($B6="","",VLOOKUP($B6,Haltestellen!$A:$C,2))</f>
        <v>GBF Gl.6/V</v>
      </c>
      <c r="D6" s="55" t="s">
        <v>55</v>
      </c>
      <c r="E6" s="53" t="str">
        <f>IF($D6="","",VLOOKUP($D6,Haltestellen!$A:$C,2))</f>
        <v>GBF Gl.7/V</v>
      </c>
      <c r="F6" s="56">
        <v>6.9444444444444397E-3</v>
      </c>
      <c r="G6" s="55"/>
      <c r="H6" s="52"/>
      <c r="I6" s="56">
        <v>2.0833333333333301E-2</v>
      </c>
      <c r="J6" s="57" t="str">
        <f t="shared" si="0"/>
        <v/>
      </c>
      <c r="L6" s="134" t="s">
        <v>109</v>
      </c>
      <c r="M6" s="136" t="str">
        <f>IF(N6&lt;&gt;"","Route","")</f>
        <v>Route</v>
      </c>
      <c r="N6" s="141">
        <v>3</v>
      </c>
      <c r="O6" s="92" t="str">
        <f>IF(N6="","","Relais")</f>
        <v>Relais</v>
      </c>
      <c r="P6" s="93" t="str">
        <f>IF(N6="","",VLOOKUP(N6,$A:$E,2))</f>
        <v>313.11</v>
      </c>
      <c r="Q6" s="93" t="str">
        <f>IF(N6="","",IF(RIGHT(P6,1)="1","V","N"))</f>
        <v>V</v>
      </c>
      <c r="R6" s="94"/>
      <c r="S6" s="101"/>
      <c r="T6" s="94"/>
      <c r="U6" s="94"/>
      <c r="V6" s="94"/>
      <c r="W6" s="94"/>
      <c r="X6" s="94" t="str">
        <f>IF(N6&lt;&gt;"","x","")</f>
        <v>x</v>
      </c>
      <c r="Y6" s="101" t="str">
        <f>IF(X6="x","R-Lok AB","")</f>
        <v>R-Lok AB</v>
      </c>
      <c r="Z6" s="103">
        <f>IF(X6="x",Z4+1,"")</f>
        <v>3</v>
      </c>
      <c r="AA6" s="101" t="str">
        <f>IF(X6="x","R-Lok AN","")</f>
        <v>R-Lok AN</v>
      </c>
      <c r="AB6" s="104">
        <f>IF(X6="x",AB4+1,"")</f>
        <v>3</v>
      </c>
    </row>
    <row r="7" spans="1:28" x14ac:dyDescent="0.25">
      <c r="A7" s="52"/>
      <c r="B7" s="55"/>
      <c r="C7" s="53" t="str">
        <f>IF($B7="","",VLOOKUP($B7,Haltestellen!$A:$C,2))</f>
        <v/>
      </c>
      <c r="D7" s="55"/>
      <c r="E7" s="53" t="str">
        <f>IF($D7="","",VLOOKUP($D7,Haltestellen!$A:$C,2))</f>
        <v/>
      </c>
      <c r="F7" s="56"/>
      <c r="G7" s="55"/>
      <c r="H7" s="52"/>
      <c r="I7" s="56"/>
      <c r="J7" s="57" t="str">
        <f t="shared" si="0"/>
        <v/>
      </c>
      <c r="L7" s="135"/>
      <c r="M7" s="137"/>
      <c r="N7" s="142"/>
      <c r="O7" s="95" t="str">
        <f>IF(N6="","","Relais")</f>
        <v>Relais</v>
      </c>
      <c r="P7" s="96" t="str">
        <f>IF(N6="","",VLOOKUP(N6,$A:$E,4))</f>
        <v>314.11</v>
      </c>
      <c r="Q7" s="96" t="str">
        <f>IF(N6="","",IF(RIGHT(P7,1)="1","V","N"))</f>
        <v>V</v>
      </c>
      <c r="R7" s="97" t="str">
        <f>IF(N6&lt;&gt;"","x","")</f>
        <v>x</v>
      </c>
      <c r="S7" s="100" t="str">
        <f>IF(R7="x",S5,"")</f>
        <v>R-Lok AN</v>
      </c>
      <c r="T7" s="99">
        <f>IF(R7="x",T5+1,"")</f>
        <v>4</v>
      </c>
      <c r="U7" s="100" t="str">
        <f>IF(R7="x","R-Lok AB","")</f>
        <v>R-Lok AB</v>
      </c>
      <c r="V7" s="97">
        <f>IF(R7="x",V5+1,"")</f>
        <v>3</v>
      </c>
      <c r="W7" s="97"/>
      <c r="X7" s="97"/>
      <c r="Y7" s="97"/>
      <c r="Z7" s="99"/>
      <c r="AA7" s="97"/>
      <c r="AB7" s="98"/>
    </row>
    <row r="8" spans="1:28" x14ac:dyDescent="0.25">
      <c r="A8" s="52"/>
      <c r="B8" s="55"/>
      <c r="C8" s="53" t="str">
        <f>IF($B8="","",VLOOKUP($B8,Haltestellen!$A:$C,2))</f>
        <v/>
      </c>
      <c r="D8" s="55"/>
      <c r="E8" s="53" t="str">
        <f>IF($D8="","",VLOOKUP($D8,Haltestellen!$A:$C,2))</f>
        <v/>
      </c>
      <c r="F8" s="56"/>
      <c r="G8" s="55"/>
      <c r="H8" s="52"/>
      <c r="I8" s="56"/>
      <c r="J8" s="57" t="str">
        <f t="shared" si="0"/>
        <v/>
      </c>
      <c r="L8" s="134" t="s">
        <v>110</v>
      </c>
      <c r="M8" s="136" t="str">
        <f>IF(N8&lt;&gt;"","Route","")</f>
        <v>Route</v>
      </c>
      <c r="N8" s="141">
        <v>4</v>
      </c>
      <c r="O8" s="92" t="str">
        <f>IF(N8="","","Relais")</f>
        <v>Relais</v>
      </c>
      <c r="P8" s="93" t="str">
        <f>IF(N8="","",VLOOKUP(N8,$A:$E,2))</f>
        <v>314.11</v>
      </c>
      <c r="Q8" s="93" t="str">
        <f>IF(N8="","",IF(RIGHT(P8,1)="1","V","N"))</f>
        <v>V</v>
      </c>
      <c r="R8" s="94"/>
      <c r="S8" s="101"/>
      <c r="T8" s="94"/>
      <c r="U8" s="94"/>
      <c r="V8" s="94"/>
      <c r="W8" s="94"/>
      <c r="X8" s="94" t="str">
        <f>IF(N8&lt;&gt;"","x","")</f>
        <v>x</v>
      </c>
      <c r="Y8" s="101" t="str">
        <f>IF(X8="x","R-Lok AB","")</f>
        <v>R-Lok AB</v>
      </c>
      <c r="Z8" s="103">
        <f>IF(X8="x",Z6+1,"")</f>
        <v>4</v>
      </c>
      <c r="AA8" s="101" t="str">
        <f>IF(X8="x","R-Lok AN","")</f>
        <v>R-Lok AN</v>
      </c>
      <c r="AB8" s="104">
        <f>IF(X8="x",AB6+1,"")</f>
        <v>4</v>
      </c>
    </row>
    <row r="9" spans="1:28" x14ac:dyDescent="0.25">
      <c r="A9" s="52"/>
      <c r="B9" s="55"/>
      <c r="C9" s="53" t="str">
        <f>IF($B9="","",VLOOKUP($B9,Haltestellen!$A:$C,2))</f>
        <v/>
      </c>
      <c r="D9" s="55"/>
      <c r="E9" s="53" t="str">
        <f>IF($D9="","",VLOOKUP($D9,Haltestellen!$A:$C,2))</f>
        <v/>
      </c>
      <c r="F9" s="56"/>
      <c r="G9" s="55"/>
      <c r="H9" s="52"/>
      <c r="I9" s="56"/>
      <c r="J9" s="57" t="str">
        <f t="shared" si="0"/>
        <v/>
      </c>
      <c r="L9" s="135"/>
      <c r="M9" s="137"/>
      <c r="N9" s="142"/>
      <c r="O9" s="95" t="str">
        <f>IF(N8="","","Relais")</f>
        <v>Relais</v>
      </c>
      <c r="P9" s="96" t="str">
        <f>IF(N8="","",VLOOKUP(N8,$A:$E,4))</f>
        <v>312.11</v>
      </c>
      <c r="Q9" s="96" t="str">
        <f>IF(N8="","",IF(RIGHT(P9,1)="1","V","N"))</f>
        <v>V</v>
      </c>
      <c r="R9" s="97" t="str">
        <f>IF(N8&lt;&gt;"","x","")</f>
        <v>x</v>
      </c>
      <c r="S9" s="100" t="str">
        <f>IF(R9="x",S7,"")</f>
        <v>R-Lok AN</v>
      </c>
      <c r="T9" s="99">
        <f>IF(R9="x",T7+1,"")</f>
        <v>5</v>
      </c>
      <c r="U9" s="100" t="str">
        <f>IF(R9="x","R-Lok AB","")</f>
        <v>R-Lok AB</v>
      </c>
      <c r="V9" s="97">
        <f>IF(R9="x",V7+1,"")</f>
        <v>4</v>
      </c>
      <c r="W9" s="97"/>
      <c r="X9" s="97"/>
      <c r="Y9" s="97"/>
      <c r="Z9" s="99"/>
      <c r="AA9" s="97"/>
      <c r="AB9" s="98"/>
    </row>
    <row r="10" spans="1:28" x14ac:dyDescent="0.25">
      <c r="A10" s="52"/>
      <c r="B10" s="55"/>
      <c r="C10" s="53" t="str">
        <f>IF($B10="","",VLOOKUP($B10,Haltestellen!$A:$C,2))</f>
        <v/>
      </c>
      <c r="D10" s="55"/>
      <c r="E10" s="53" t="str">
        <f>IF($D10="","",VLOOKUP($D10,Haltestellen!$A:$C,2))</f>
        <v/>
      </c>
      <c r="F10" s="52"/>
      <c r="G10" s="55"/>
      <c r="H10" s="52"/>
      <c r="I10" s="52"/>
      <c r="J10" s="57" t="str">
        <f t="shared" si="0"/>
        <v/>
      </c>
      <c r="L10" s="134" t="s">
        <v>111</v>
      </c>
      <c r="M10" s="136" t="str">
        <f>IF(N10&lt;&gt;"","Route","")</f>
        <v>Route</v>
      </c>
      <c r="N10" s="141">
        <v>5</v>
      </c>
      <c r="O10" s="92" t="str">
        <f>IF(N10="","","Relais")</f>
        <v>Relais</v>
      </c>
      <c r="P10" s="93" t="str">
        <f>IF(N10="","",VLOOKUP(N10,$A:$E,2))</f>
        <v>312.11</v>
      </c>
      <c r="Q10" s="93" t="str">
        <f>IF(N10="","",IF(RIGHT(P10,1)="1","V","N"))</f>
        <v>V</v>
      </c>
      <c r="R10" s="94"/>
      <c r="S10" s="101"/>
      <c r="T10" s="94"/>
      <c r="U10" s="94"/>
      <c r="V10" s="94"/>
      <c r="W10" s="94"/>
      <c r="X10" s="94" t="str">
        <f>IF(N10&lt;&gt;"","x","")</f>
        <v>x</v>
      </c>
      <c r="Y10" s="101" t="str">
        <f>IF(X10="x","R-Lok AB","")</f>
        <v>R-Lok AB</v>
      </c>
      <c r="Z10" s="103">
        <f>IF(X10="x",Z8+1,"")</f>
        <v>5</v>
      </c>
      <c r="AA10" s="101" t="str">
        <f>IF(X10="x","R-Lok AN","")</f>
        <v>R-Lok AN</v>
      </c>
      <c r="AB10" s="104">
        <f>IF(X10="x",AB8+1,"")</f>
        <v>5</v>
      </c>
    </row>
    <row r="11" spans="1:28" x14ac:dyDescent="0.25">
      <c r="A11" s="52"/>
      <c r="B11" s="55"/>
      <c r="C11" s="53" t="str">
        <f>IF($B11="","",VLOOKUP($B11,Haltestellen!$A:$C,2))</f>
        <v/>
      </c>
      <c r="D11" s="55"/>
      <c r="E11" s="53" t="str">
        <f>IF($D11="","",VLOOKUP($D11,Haltestellen!$A:$C,2))</f>
        <v/>
      </c>
      <c r="F11" s="52"/>
      <c r="G11" s="55"/>
      <c r="H11" s="52"/>
      <c r="I11" s="52"/>
      <c r="J11" s="57" t="str">
        <f t="shared" si="0"/>
        <v/>
      </c>
      <c r="L11" s="135"/>
      <c r="M11" s="137"/>
      <c r="N11" s="142"/>
      <c r="O11" s="95" t="str">
        <f>IF(N10="","","Relais")</f>
        <v>Relais</v>
      </c>
      <c r="P11" s="96" t="str">
        <f>IF(N10="","",VLOOKUP(N10,$A:$E,4))</f>
        <v>313.11</v>
      </c>
      <c r="Q11" s="96" t="str">
        <f>IF(N10="","",IF(RIGHT(P11,1)="1","V","N"))</f>
        <v>V</v>
      </c>
      <c r="R11" s="97" t="str">
        <f>IF(N10&lt;&gt;"","x","")</f>
        <v>x</v>
      </c>
      <c r="S11" s="100" t="str">
        <f>IF(R11="x",S9,"")</f>
        <v>R-Lok AN</v>
      </c>
      <c r="T11" s="99">
        <f>IF(R11="x",T9+1,"")</f>
        <v>6</v>
      </c>
      <c r="U11" s="100" t="str">
        <f>IF(R11="x","R-Lok AB","")</f>
        <v>R-Lok AB</v>
      </c>
      <c r="V11" s="97">
        <f>IF(R11="x",V9+1,"")</f>
        <v>5</v>
      </c>
      <c r="W11" s="97"/>
      <c r="X11" s="97"/>
      <c r="Y11" s="97"/>
      <c r="Z11" s="99"/>
      <c r="AA11" s="97"/>
      <c r="AB11" s="98"/>
    </row>
    <row r="12" spans="1:28" x14ac:dyDescent="0.25">
      <c r="A12" s="52"/>
      <c r="B12" s="55"/>
      <c r="C12" s="53" t="str">
        <f>IF($B12="","",VLOOKUP($B12,Haltestellen!$A:$C,2))</f>
        <v/>
      </c>
      <c r="D12" s="55"/>
      <c r="E12" s="53" t="str">
        <f>IF($D12="","",VLOOKUP($D12,Haltestellen!$A:$C,2))</f>
        <v/>
      </c>
      <c r="F12" s="52"/>
      <c r="G12" s="55"/>
      <c r="H12" s="52"/>
      <c r="I12" s="52"/>
      <c r="J12" s="57" t="str">
        <f t="shared" si="0"/>
        <v/>
      </c>
      <c r="L12" s="134" t="s">
        <v>112</v>
      </c>
      <c r="M12" s="136" t="str">
        <f>IF(N12&lt;&gt;"","Route","")</f>
        <v>Route</v>
      </c>
      <c r="N12" s="141">
        <v>3</v>
      </c>
      <c r="O12" s="92" t="str">
        <f>IF(N12="","","Relais")</f>
        <v>Relais</v>
      </c>
      <c r="P12" s="93" t="str">
        <f>IF(N12="","",VLOOKUP(N12,$A:$E,2))</f>
        <v>313.11</v>
      </c>
      <c r="Q12" s="93" t="str">
        <f>IF(N12="","",IF(RIGHT(P12,1)="1","V","N"))</f>
        <v>V</v>
      </c>
      <c r="R12" s="94"/>
      <c r="S12" s="101"/>
      <c r="T12" s="94"/>
      <c r="U12" s="94"/>
      <c r="V12" s="94"/>
      <c r="W12" s="94"/>
      <c r="X12" s="94" t="str">
        <f>IF(N12&lt;&gt;"","x","")</f>
        <v>x</v>
      </c>
      <c r="Y12" s="101" t="str">
        <f>IF(X12="x","R-Lok AB","")</f>
        <v>R-Lok AB</v>
      </c>
      <c r="Z12" s="103">
        <f>IF(X12="x",Z10+1,"")</f>
        <v>6</v>
      </c>
      <c r="AA12" s="101" t="str">
        <f>IF(X12="x","R-Lok AN","")</f>
        <v>R-Lok AN</v>
      </c>
      <c r="AB12" s="104">
        <f>IF(X12="x",AB10+1,"")</f>
        <v>6</v>
      </c>
    </row>
    <row r="13" spans="1:28" x14ac:dyDescent="0.25">
      <c r="A13" s="52"/>
      <c r="B13" s="55"/>
      <c r="C13" s="53" t="str">
        <f>IF($B13="","",VLOOKUP($B13,Haltestellen!$A:$C,2))</f>
        <v/>
      </c>
      <c r="D13" s="55"/>
      <c r="E13" s="53" t="str">
        <f>IF($D13="","",VLOOKUP($D13,Haltestellen!$A:$C,2))</f>
        <v/>
      </c>
      <c r="F13" s="52"/>
      <c r="G13" s="55"/>
      <c r="H13" s="52"/>
      <c r="I13" s="52"/>
      <c r="J13" s="57" t="str">
        <f t="shared" si="0"/>
        <v/>
      </c>
      <c r="L13" s="135"/>
      <c r="M13" s="137"/>
      <c r="N13" s="142"/>
      <c r="O13" s="95" t="str">
        <f>IF(N12="","","Relais")</f>
        <v>Relais</v>
      </c>
      <c r="P13" s="96" t="str">
        <f>IF(N12="","",VLOOKUP(N12,$A:$E,4))</f>
        <v>314.11</v>
      </c>
      <c r="Q13" s="96" t="str">
        <f>IF(N12="","",IF(RIGHT(P13,1)="1","V","N"))</f>
        <v>V</v>
      </c>
      <c r="R13" s="97" t="str">
        <f>IF(N12&lt;&gt;"","x","")</f>
        <v>x</v>
      </c>
      <c r="S13" s="100" t="str">
        <f>IF(R13="x",S11,"")</f>
        <v>R-Lok AN</v>
      </c>
      <c r="T13" s="99">
        <f>IF(R13="x",T11+1-6,"")</f>
        <v>1</v>
      </c>
      <c r="U13" s="100" t="str">
        <f>IF(R13="x","R-Lok AB","")</f>
        <v>R-Lok AB</v>
      </c>
      <c r="V13" s="97">
        <f>IF(R13="x",V11+1,"")</f>
        <v>6</v>
      </c>
      <c r="W13" s="97"/>
      <c r="X13" s="97"/>
      <c r="Y13" s="97"/>
      <c r="Z13" s="99"/>
      <c r="AA13" s="97"/>
      <c r="AB13" s="98"/>
    </row>
    <row r="14" spans="1:28" x14ac:dyDescent="0.25">
      <c r="A14" s="52"/>
      <c r="B14" s="55"/>
      <c r="C14" s="53" t="str">
        <f>IF($B14="","",VLOOKUP($B14,Haltestellen!$A:$C,2))</f>
        <v/>
      </c>
      <c r="D14" s="55"/>
      <c r="E14" s="53" t="str">
        <f>IF($D14="","",VLOOKUP($D14,Haltestellen!$A:$C,2))</f>
        <v/>
      </c>
      <c r="F14" s="52"/>
      <c r="G14" s="55"/>
      <c r="H14" s="52"/>
      <c r="I14" s="52"/>
      <c r="J14" s="57" t="str">
        <f t="shared" si="0"/>
        <v/>
      </c>
      <c r="L14" s="134"/>
      <c r="M14" s="136" t="str">
        <f>IF(N14&lt;&gt;"","Route","")</f>
        <v/>
      </c>
      <c r="N14" s="141"/>
      <c r="O14" s="92" t="str">
        <f>IF(N14="","","Relais")</f>
        <v/>
      </c>
      <c r="P14" s="93" t="str">
        <f>IF(N14="","",VLOOKUP(N14,$A:$E,2))</f>
        <v/>
      </c>
      <c r="Q14" s="93" t="str">
        <f>IF(N14="","",IF(RIGHT(P14,1)="1","V","N"))</f>
        <v/>
      </c>
      <c r="R14" s="94"/>
      <c r="S14" s="101"/>
      <c r="T14" s="94"/>
      <c r="U14" s="94"/>
      <c r="V14" s="94"/>
      <c r="W14" s="94"/>
      <c r="X14" s="94" t="str">
        <f>IF(N14&lt;&gt;"","x","")</f>
        <v/>
      </c>
      <c r="Y14" s="101" t="str">
        <f>IF(X14="x","R-Lok AB","")</f>
        <v/>
      </c>
      <c r="Z14" s="103" t="str">
        <f>IF(X14="x",Z12+1,"")</f>
        <v/>
      </c>
      <c r="AA14" s="101" t="str">
        <f>IF(X14="x","R-Lok AN","")</f>
        <v/>
      </c>
      <c r="AB14" s="104" t="str">
        <f>IF(X14="x",AB12+1,"")</f>
        <v/>
      </c>
    </row>
    <row r="15" spans="1:28" x14ac:dyDescent="0.25">
      <c r="A15" s="52"/>
      <c r="B15" s="55"/>
      <c r="C15" s="53" t="str">
        <f>IF($B15="","",VLOOKUP($B15,Haltestellen!$A:$C,2))</f>
        <v/>
      </c>
      <c r="D15" s="55"/>
      <c r="E15" s="53" t="str">
        <f>IF($D15="","",VLOOKUP($D15,Haltestellen!$A:$C,2))</f>
        <v/>
      </c>
      <c r="F15" s="52"/>
      <c r="G15" s="55"/>
      <c r="H15" s="52"/>
      <c r="I15" s="52"/>
      <c r="J15" s="57" t="str">
        <f t="shared" si="0"/>
        <v/>
      </c>
      <c r="L15" s="135"/>
      <c r="M15" s="137"/>
      <c r="N15" s="142"/>
      <c r="O15" s="95" t="str">
        <f>IF(N14="","","Relais")</f>
        <v/>
      </c>
      <c r="P15" s="96" t="str">
        <f>IF(N14="","",VLOOKUP(N14,$A:$E,4))</f>
        <v/>
      </c>
      <c r="Q15" s="96" t="str">
        <f>IF(N14="","",IF(RIGHT(P15,1)="1","V","N"))</f>
        <v/>
      </c>
      <c r="R15" s="97" t="str">
        <f>IF(N14&lt;&gt;"","x","")</f>
        <v/>
      </c>
      <c r="S15" s="100" t="str">
        <f>IF(R15="x",S13,"")</f>
        <v/>
      </c>
      <c r="T15" s="99" t="str">
        <f>IF(R15="x",T13+1,"")</f>
        <v/>
      </c>
      <c r="U15" s="100" t="str">
        <f>IF(R15="x","R-Lok AB","")</f>
        <v/>
      </c>
      <c r="V15" s="97" t="str">
        <f>IF(R15="x",V13+1,"")</f>
        <v/>
      </c>
      <c r="W15" s="97"/>
      <c r="X15" s="97"/>
      <c r="Y15" s="97"/>
      <c r="Z15" s="99"/>
      <c r="AA15" s="97"/>
      <c r="AB15" s="98"/>
    </row>
    <row r="16" spans="1:28" x14ac:dyDescent="0.25">
      <c r="A16" s="52"/>
      <c r="B16" s="55"/>
      <c r="C16" s="53" t="str">
        <f>IF($B16="","",VLOOKUP($B16,Haltestellen!$A:$C,2))</f>
        <v/>
      </c>
      <c r="D16" s="55"/>
      <c r="E16" s="53" t="str">
        <f>IF($D16="","",VLOOKUP($D16,Haltestellen!$A:$C,2))</f>
        <v/>
      </c>
      <c r="F16" s="52"/>
      <c r="G16" s="55"/>
      <c r="H16" s="52"/>
      <c r="I16" s="52"/>
      <c r="J16" s="57" t="str">
        <f t="shared" si="0"/>
        <v/>
      </c>
      <c r="L16" s="134"/>
      <c r="M16" s="136" t="str">
        <f>IF(N16&lt;&gt;"","Route","")</f>
        <v/>
      </c>
      <c r="N16" s="141"/>
      <c r="O16" s="92" t="str">
        <f>IF(N16="","","Relais")</f>
        <v/>
      </c>
      <c r="P16" s="93" t="str">
        <f>IF(N16="","",VLOOKUP(N16,$A:$E,2))</f>
        <v/>
      </c>
      <c r="Q16" s="93" t="str">
        <f>IF(N16="","",IF(RIGHT(P16,1)="1","V","N"))</f>
        <v/>
      </c>
      <c r="R16" s="94"/>
      <c r="S16" s="101"/>
      <c r="T16" s="94"/>
      <c r="U16" s="94"/>
      <c r="V16" s="94"/>
      <c r="W16" s="94"/>
      <c r="X16" s="94" t="str">
        <f>IF(N16&lt;&gt;"","x","")</f>
        <v/>
      </c>
      <c r="Y16" s="101" t="str">
        <f>IF(X16="x","R-Lok AB","")</f>
        <v/>
      </c>
      <c r="Z16" s="103" t="str">
        <f>IF(X16="x",Z14+1,"")</f>
        <v/>
      </c>
      <c r="AA16" s="101" t="str">
        <f>IF(X16="x","R-Lok AN","")</f>
        <v/>
      </c>
      <c r="AB16" s="104" t="str">
        <f>IF(X16="x",AB14+1,"")</f>
        <v/>
      </c>
    </row>
    <row r="17" spans="1:28" x14ac:dyDescent="0.25">
      <c r="A17" s="52"/>
      <c r="B17" s="55"/>
      <c r="C17" s="53" t="str">
        <f>IF($B17="","",VLOOKUP($B17,Haltestellen!$A:$C,2))</f>
        <v/>
      </c>
      <c r="D17" s="55"/>
      <c r="E17" s="53" t="str">
        <f>IF($D17="","",VLOOKUP($D17,Haltestellen!$A:$C,2))</f>
        <v/>
      </c>
      <c r="F17" s="52"/>
      <c r="G17" s="55"/>
      <c r="H17" s="52"/>
      <c r="I17" s="52"/>
      <c r="J17" s="57" t="str">
        <f t="shared" si="0"/>
        <v/>
      </c>
      <c r="L17" s="135"/>
      <c r="M17" s="137"/>
      <c r="N17" s="142"/>
      <c r="O17" s="95" t="str">
        <f>IF(N16="","","Relais")</f>
        <v/>
      </c>
      <c r="P17" s="96" t="str">
        <f>IF(N16="","",VLOOKUP(N16,$A:$E,4))</f>
        <v/>
      </c>
      <c r="Q17" s="96" t="str">
        <f>IF(N16="","",IF(RIGHT(P17,1)="1","V","N"))</f>
        <v/>
      </c>
      <c r="R17" s="97" t="str">
        <f>IF(N16&lt;&gt;"","x","")</f>
        <v/>
      </c>
      <c r="S17" s="100" t="str">
        <f>IF(R17="x",S15,"")</f>
        <v/>
      </c>
      <c r="T17" s="99" t="str">
        <f>IF(R17="x",T15+1,"")</f>
        <v/>
      </c>
      <c r="U17" s="100" t="str">
        <f>IF(R17="x","R-Lok AB","")</f>
        <v/>
      </c>
      <c r="V17" s="97" t="str">
        <f>IF(R17="x",V15+1,"")</f>
        <v/>
      </c>
      <c r="W17" s="97"/>
      <c r="X17" s="97"/>
      <c r="Y17" s="97"/>
      <c r="Z17" s="99"/>
      <c r="AA17" s="97"/>
      <c r="AB17" s="98"/>
    </row>
    <row r="18" spans="1:28" x14ac:dyDescent="0.25">
      <c r="A18" s="52"/>
      <c r="B18" s="55"/>
      <c r="C18" s="53" t="str">
        <f>IF($B18="","",VLOOKUP($B18,Haltestellen!$A:$C,2))</f>
        <v/>
      </c>
      <c r="D18" s="55"/>
      <c r="E18" s="53" t="str">
        <f>IF($D18="","",VLOOKUP($D18,Haltestellen!$A:$C,2))</f>
        <v/>
      </c>
      <c r="F18" s="52"/>
      <c r="G18" s="55"/>
      <c r="H18" s="52"/>
      <c r="I18" s="52"/>
      <c r="J18" s="57" t="str">
        <f t="shared" si="0"/>
        <v/>
      </c>
      <c r="L18" s="134"/>
      <c r="M18" s="136" t="str">
        <f>IF(N18&lt;&gt;"","Route","")</f>
        <v/>
      </c>
      <c r="N18" s="141"/>
      <c r="O18" s="92" t="str">
        <f>IF(N18="","","Relais")</f>
        <v/>
      </c>
      <c r="P18" s="93" t="str">
        <f>IF(N18="","",VLOOKUP(N18,$A:$E,2))</f>
        <v/>
      </c>
      <c r="Q18" s="93" t="str">
        <f>IF(N18="","",IF(RIGHT(P18,1)="1","V","N"))</f>
        <v/>
      </c>
      <c r="R18" s="94"/>
      <c r="S18" s="101"/>
      <c r="T18" s="94"/>
      <c r="U18" s="94"/>
      <c r="V18" s="94"/>
      <c r="W18" s="94"/>
      <c r="X18" s="94" t="str">
        <f>IF(N18&lt;&gt;"","x","")</f>
        <v/>
      </c>
      <c r="Y18" s="101" t="str">
        <f>IF(X18="x","R-Lok AB","")</f>
        <v/>
      </c>
      <c r="Z18" s="103" t="str">
        <f>IF(X18="x",Z16+1,"")</f>
        <v/>
      </c>
      <c r="AA18" s="101" t="str">
        <f>IF(X18="x","R-Lok AN","")</f>
        <v/>
      </c>
      <c r="AB18" s="104" t="str">
        <f>IF(X18="x",AB16+1,"")</f>
        <v/>
      </c>
    </row>
    <row r="19" spans="1:28" x14ac:dyDescent="0.25">
      <c r="A19" s="52"/>
      <c r="B19" s="55"/>
      <c r="C19" s="53" t="str">
        <f>IF($B19="","",VLOOKUP($B19,Haltestellen!$A:$C,2))</f>
        <v/>
      </c>
      <c r="D19" s="55"/>
      <c r="E19" s="53" t="str">
        <f>IF($D19="","",VLOOKUP($D19,Haltestellen!$A:$C,2))</f>
        <v/>
      </c>
      <c r="F19" s="52"/>
      <c r="G19" s="55"/>
      <c r="H19" s="52"/>
      <c r="I19" s="52"/>
      <c r="J19" s="57" t="str">
        <f t="shared" si="0"/>
        <v/>
      </c>
      <c r="L19" s="135"/>
      <c r="M19" s="137"/>
      <c r="N19" s="142"/>
      <c r="O19" s="95" t="str">
        <f>IF(N18="","","Relais")</f>
        <v/>
      </c>
      <c r="P19" s="96" t="str">
        <f>IF(N18="","",VLOOKUP(N18,$A:$E,4))</f>
        <v/>
      </c>
      <c r="Q19" s="96" t="str">
        <f>IF(N18="","",IF(RIGHT(P19,1)="1","V","N"))</f>
        <v/>
      </c>
      <c r="R19" s="97" t="str">
        <f>IF(N18&lt;&gt;"","x","")</f>
        <v/>
      </c>
      <c r="S19" s="100" t="str">
        <f>IF(R19="x",S17,"")</f>
        <v/>
      </c>
      <c r="T19" s="99" t="str">
        <f>IF(R19="x",T17+1-9,"")</f>
        <v/>
      </c>
      <c r="U19" s="100" t="str">
        <f>IF(R19="x","R-Lok AB","")</f>
        <v/>
      </c>
      <c r="V19" s="97" t="str">
        <f>IF(R19="x",V17+1,"")</f>
        <v/>
      </c>
      <c r="W19" s="97"/>
      <c r="X19" s="97"/>
      <c r="Y19" s="97"/>
      <c r="Z19" s="99"/>
      <c r="AA19" s="97"/>
      <c r="AB19" s="98"/>
    </row>
    <row r="20" spans="1:28" x14ac:dyDescent="0.25">
      <c r="A20" s="52"/>
      <c r="B20" s="55"/>
      <c r="C20" s="53" t="str">
        <f>IF($B20="","",VLOOKUP($B20,Haltestellen!$A:$C,2))</f>
        <v/>
      </c>
      <c r="D20" s="55"/>
      <c r="E20" s="53" t="str">
        <f>IF($D20="","",VLOOKUP($D20,Haltestellen!$A:$C,2))</f>
        <v/>
      </c>
      <c r="F20" s="52"/>
      <c r="G20" s="55"/>
      <c r="H20" s="52"/>
      <c r="I20" s="52"/>
      <c r="J20" s="57" t="str">
        <f t="shared" si="0"/>
        <v/>
      </c>
      <c r="L20" s="134"/>
      <c r="M20" s="136" t="str">
        <f>IF(N20&lt;&gt;"","Route","")</f>
        <v/>
      </c>
      <c r="N20" s="141"/>
      <c r="O20" s="92" t="str">
        <f>IF(N20="","","Relais")</f>
        <v/>
      </c>
      <c r="P20" s="93" t="str">
        <f>IF(N20="","",VLOOKUP(N20,$A:$E,2))</f>
        <v/>
      </c>
      <c r="Q20" s="93" t="str">
        <f>IF(N20="","",IF(RIGHT(P20,1)="1","V","N"))</f>
        <v/>
      </c>
      <c r="R20" s="94"/>
      <c r="S20" s="101"/>
      <c r="T20" s="94"/>
      <c r="U20" s="94"/>
      <c r="V20" s="94"/>
      <c r="W20" s="94"/>
      <c r="X20" s="94" t="str">
        <f>IF(N20&lt;&gt;"","x","")</f>
        <v/>
      </c>
      <c r="Y20" s="101" t="str">
        <f>IF(X20="x","IC AB","")</f>
        <v/>
      </c>
      <c r="Z20" s="103" t="str">
        <f>IF(X20="x",Z18+1,"")</f>
        <v/>
      </c>
      <c r="AA20" s="101" t="str">
        <f>IF(X20="x","IC AN","")</f>
        <v/>
      </c>
      <c r="AB20" s="104" t="str">
        <f>IF(X20="x",AB18+1,"")</f>
        <v/>
      </c>
    </row>
    <row r="21" spans="1:28" x14ac:dyDescent="0.25">
      <c r="A21" s="52"/>
      <c r="B21" s="55"/>
      <c r="C21" s="53" t="str">
        <f>IF($B21="","",VLOOKUP($B21,Haltestellen!$A:$C,2))</f>
        <v/>
      </c>
      <c r="D21" s="55"/>
      <c r="E21" s="53" t="str">
        <f>IF($D21="","",VLOOKUP($D21,Haltestellen!$A:$C,2))</f>
        <v/>
      </c>
      <c r="F21" s="52"/>
      <c r="G21" s="55"/>
      <c r="H21" s="52"/>
      <c r="I21" s="52"/>
      <c r="J21" s="57" t="str">
        <f t="shared" si="0"/>
        <v/>
      </c>
      <c r="L21" s="135"/>
      <c r="M21" s="137"/>
      <c r="N21" s="142"/>
      <c r="O21" s="95" t="str">
        <f>IF(N20="","","Relais")</f>
        <v/>
      </c>
      <c r="P21" s="96" t="str">
        <f>IF(N20="","",VLOOKUP(N20,$A:$E,4))</f>
        <v/>
      </c>
      <c r="Q21" s="96" t="str">
        <f>IF(N20="","",IF(RIGHT(P21,1)="1","V","N"))</f>
        <v/>
      </c>
      <c r="R21" s="97" t="str">
        <f>IF(N20&lt;&gt;"","x","")</f>
        <v/>
      </c>
      <c r="S21" s="100" t="str">
        <f>IF(R21="x",S19,"")</f>
        <v/>
      </c>
      <c r="T21" s="99" t="str">
        <f>IF(R21="x",T19+1-10,"")</f>
        <v/>
      </c>
      <c r="U21" s="100" t="str">
        <f>IF(R21="x","IC AB","")</f>
        <v/>
      </c>
      <c r="V21" s="97" t="str">
        <f>IF(R21="x",V19+1,"")</f>
        <v/>
      </c>
      <c r="W21" s="97"/>
      <c r="X21" s="97"/>
      <c r="Y21" s="97"/>
      <c r="Z21" s="99"/>
      <c r="AA21" s="97"/>
      <c r="AB21" s="98"/>
    </row>
    <row r="22" spans="1:28" x14ac:dyDescent="0.25">
      <c r="A22" s="52"/>
      <c r="B22" s="55"/>
      <c r="C22" s="53" t="str">
        <f>IF($B22="","",VLOOKUP($B22,Haltestellen!$A:$C,2))</f>
        <v/>
      </c>
      <c r="D22" s="55"/>
      <c r="E22" s="53" t="str">
        <f>IF($D22="","",VLOOKUP($D22,Haltestellen!$A:$C,2))</f>
        <v/>
      </c>
      <c r="F22" s="52"/>
      <c r="G22" s="55"/>
      <c r="H22" s="52"/>
      <c r="I22" s="52"/>
      <c r="J22" s="57" t="str">
        <f t="shared" si="0"/>
        <v/>
      </c>
    </row>
    <row r="23" spans="1:28" x14ac:dyDescent="0.25">
      <c r="A23" s="52"/>
      <c r="B23" s="55"/>
      <c r="C23" s="53" t="str">
        <f>IF($B23="","",VLOOKUP($B23,Haltestellen!$A:$C,2))</f>
        <v/>
      </c>
      <c r="D23" s="55"/>
      <c r="E23" s="53" t="str">
        <f>IF($D23="","",VLOOKUP($D23,Haltestellen!$A:$C,2))</f>
        <v/>
      </c>
      <c r="F23" s="52"/>
      <c r="G23" s="55"/>
      <c r="H23" s="52"/>
      <c r="I23" s="52"/>
      <c r="J23" s="57" t="str">
        <f t="shared" si="0"/>
        <v/>
      </c>
    </row>
    <row r="24" spans="1:28" x14ac:dyDescent="0.25">
      <c r="A24" s="52"/>
      <c r="B24" s="55"/>
      <c r="C24" s="53" t="str">
        <f>IF($B24="","",VLOOKUP($B24,Haltestellen!$A:$C,2))</f>
        <v/>
      </c>
      <c r="D24" s="55"/>
      <c r="E24" s="53" t="str">
        <f>IF($D24="","",VLOOKUP($D24,Haltestellen!$A:$C,2))</f>
        <v/>
      </c>
      <c r="F24" s="52"/>
      <c r="G24" s="55"/>
      <c r="H24" s="52"/>
      <c r="I24" s="52"/>
      <c r="J24" s="57" t="str">
        <f t="shared" si="0"/>
        <v/>
      </c>
    </row>
    <row r="25" spans="1:28" x14ac:dyDescent="0.25">
      <c r="A25" s="52"/>
      <c r="B25" s="55"/>
      <c r="C25" s="53" t="str">
        <f>IF($B25="","",VLOOKUP($B25,Haltestellen!$A:$C,2))</f>
        <v/>
      </c>
      <c r="D25" s="55"/>
      <c r="E25" s="53" t="str">
        <f>IF($D25="","",VLOOKUP($D25,Haltestellen!$A:$C,2))</f>
        <v/>
      </c>
      <c r="F25" s="52"/>
      <c r="G25" s="55"/>
      <c r="H25" s="52"/>
      <c r="I25" s="52"/>
      <c r="J25" s="57" t="str">
        <f t="shared" si="0"/>
        <v/>
      </c>
    </row>
    <row r="26" spans="1:28" x14ac:dyDescent="0.25">
      <c r="A26" s="52"/>
      <c r="B26" s="55"/>
      <c r="C26" s="53" t="str">
        <f>IF($B26="","",VLOOKUP($B26,Haltestellen!$A:$C,2))</f>
        <v/>
      </c>
      <c r="D26" s="55"/>
      <c r="E26" s="53" t="str">
        <f>IF($D26="","",VLOOKUP($D26,Haltestellen!$A:$C,2))</f>
        <v/>
      </c>
      <c r="F26" s="52"/>
      <c r="G26" s="55"/>
      <c r="H26" s="52"/>
      <c r="I26" s="52"/>
      <c r="J26" s="57" t="str">
        <f t="shared" si="0"/>
        <v/>
      </c>
    </row>
    <row r="27" spans="1:28" x14ac:dyDescent="0.25">
      <c r="A27" s="52"/>
      <c r="B27" s="55"/>
      <c r="C27" s="53" t="str">
        <f>IF($B27="","",VLOOKUP($B27,Haltestellen!$A:$C,2))</f>
        <v/>
      </c>
      <c r="D27" s="55"/>
      <c r="E27" s="53" t="str">
        <f>IF($D27="","",VLOOKUP($D27,Haltestellen!$A:$C,2))</f>
        <v/>
      </c>
      <c r="F27" s="52"/>
      <c r="G27" s="55"/>
      <c r="H27" s="52"/>
      <c r="I27" s="52"/>
      <c r="J27" s="57" t="str">
        <f t="shared" si="0"/>
        <v/>
      </c>
    </row>
    <row r="28" spans="1:28" x14ac:dyDescent="0.25">
      <c r="A28" s="52"/>
      <c r="B28" s="55"/>
      <c r="C28" s="53" t="str">
        <f>IF($B28="","",VLOOKUP($B28,Haltestellen!$A:$C,2))</f>
        <v/>
      </c>
      <c r="D28" s="55"/>
      <c r="E28" s="53" t="str">
        <f>IF($D28="","",VLOOKUP($D28,Haltestellen!$A:$C,2))</f>
        <v/>
      </c>
      <c r="F28" s="52"/>
      <c r="G28" s="55"/>
      <c r="H28" s="52"/>
      <c r="I28" s="52"/>
      <c r="J28" s="57" t="str">
        <f t="shared" si="0"/>
        <v/>
      </c>
    </row>
    <row r="29" spans="1:28" x14ac:dyDescent="0.25">
      <c r="A29" s="52"/>
      <c r="B29" s="55"/>
      <c r="C29" s="53" t="str">
        <f>IF($B29="","",VLOOKUP($B29,Haltestellen!$A:$C,2))</f>
        <v/>
      </c>
      <c r="D29" s="55"/>
      <c r="E29" s="53" t="str">
        <f>IF($D29="","",VLOOKUP($D29,Haltestellen!$A:$C,2))</f>
        <v/>
      </c>
      <c r="F29" s="52"/>
      <c r="G29" s="55"/>
      <c r="H29" s="52"/>
      <c r="I29" s="52"/>
      <c r="J29" s="57" t="str">
        <f t="shared" si="0"/>
        <v/>
      </c>
    </row>
    <row r="30" spans="1:28" x14ac:dyDescent="0.25">
      <c r="A30" s="52"/>
      <c r="B30" s="55"/>
      <c r="C30" s="53" t="str">
        <f>IF($B30="","",VLOOKUP($B30,Haltestellen!$A:$C,2))</f>
        <v/>
      </c>
      <c r="D30" s="55"/>
      <c r="E30" s="53" t="str">
        <f>IF($D30="","",VLOOKUP($D30,Haltestellen!$A:$C,2))</f>
        <v/>
      </c>
      <c r="F30" s="52"/>
      <c r="G30" s="55"/>
      <c r="H30" s="52"/>
      <c r="I30" s="52"/>
      <c r="J30" s="57" t="str">
        <f t="shared" si="0"/>
        <v/>
      </c>
    </row>
    <row r="31" spans="1:28" x14ac:dyDescent="0.25">
      <c r="A31" s="52"/>
      <c r="B31" s="55"/>
      <c r="C31" s="53" t="str">
        <f>IF($B31="","",VLOOKUP($B31,Haltestellen!$A:$C,2))</f>
        <v/>
      </c>
      <c r="D31" s="55"/>
      <c r="E31" s="53" t="str">
        <f>IF($D31="","",VLOOKUP($D31,Haltestellen!$A:$C,2))</f>
        <v/>
      </c>
      <c r="F31" s="52"/>
      <c r="G31" s="55"/>
      <c r="H31" s="52"/>
      <c r="I31" s="52"/>
      <c r="J31" s="57" t="str">
        <f t="shared" si="0"/>
        <v/>
      </c>
    </row>
    <row r="32" spans="1:28" x14ac:dyDescent="0.25">
      <c r="A32" s="52"/>
      <c r="B32" s="55"/>
      <c r="C32" s="53" t="str">
        <f>IF($B32="","",VLOOKUP($B32,Haltestellen!$A:$C,2))</f>
        <v/>
      </c>
      <c r="D32" s="55"/>
      <c r="E32" s="53" t="str">
        <f>IF($D32="","",VLOOKUP($D32,Haltestellen!$A:$C,2))</f>
        <v/>
      </c>
      <c r="F32" s="52"/>
      <c r="G32" s="55"/>
      <c r="H32" s="52"/>
      <c r="I32" s="52"/>
      <c r="J32" s="57" t="str">
        <f t="shared" si="0"/>
        <v/>
      </c>
    </row>
    <row r="33" spans="1:10" x14ac:dyDescent="0.25">
      <c r="A33" s="52"/>
      <c r="B33" s="55"/>
      <c r="C33" s="53" t="str">
        <f>IF($B33="","",VLOOKUP($B33,Haltestellen!$A:$C,2))</f>
        <v/>
      </c>
      <c r="D33" s="55"/>
      <c r="E33" s="53" t="str">
        <f>IF($D33="","",VLOOKUP($D33,Haltestellen!$A:$C,2))</f>
        <v/>
      </c>
      <c r="F33" s="52"/>
      <c r="G33" s="55"/>
      <c r="H33" s="52"/>
      <c r="I33" s="52"/>
      <c r="J33" s="57" t="str">
        <f t="shared" si="0"/>
        <v/>
      </c>
    </row>
    <row r="34" spans="1:10" x14ac:dyDescent="0.25">
      <c r="A34" s="52"/>
      <c r="B34" s="55"/>
      <c r="C34" s="53" t="str">
        <f>IF($B34="","",VLOOKUP($B34,Haltestellen!$A:$C,2))</f>
        <v/>
      </c>
      <c r="D34" s="55"/>
      <c r="E34" s="53" t="str">
        <f>IF($D34="","",VLOOKUP($D34,Haltestellen!$A:$C,2))</f>
        <v/>
      </c>
      <c r="F34" s="52"/>
      <c r="G34" s="55"/>
      <c r="H34" s="52"/>
      <c r="I34" s="52"/>
      <c r="J34" s="57" t="str">
        <f t="shared" si="0"/>
        <v/>
      </c>
    </row>
    <row r="35" spans="1:10" x14ac:dyDescent="0.25">
      <c r="A35" s="52"/>
      <c r="B35" s="55"/>
      <c r="C35" s="53" t="str">
        <f>IF($B35="","",VLOOKUP($B35,Haltestellen!$A:$C,2))</f>
        <v/>
      </c>
      <c r="D35" s="55"/>
      <c r="E35" s="53" t="str">
        <f>IF($D35="","",VLOOKUP($D35,Haltestellen!$A:$C,2))</f>
        <v/>
      </c>
      <c r="F35" s="52"/>
      <c r="G35" s="55"/>
      <c r="H35" s="52"/>
      <c r="I35" s="52"/>
      <c r="J35" s="57" t="str">
        <f t="shared" si="0"/>
        <v/>
      </c>
    </row>
    <row r="36" spans="1:10" x14ac:dyDescent="0.25">
      <c r="A36" s="52"/>
      <c r="B36" s="55"/>
      <c r="C36" s="53" t="str">
        <f>IF($B36="","",VLOOKUP($B36,Haltestellen!$A:$C,2))</f>
        <v/>
      </c>
      <c r="D36" s="55"/>
      <c r="E36" s="53" t="str">
        <f>IF($D36="","",VLOOKUP($D36,Haltestellen!$A:$C,2))</f>
        <v/>
      </c>
      <c r="F36" s="52"/>
      <c r="G36" s="55"/>
      <c r="H36" s="52"/>
      <c r="I36" s="52"/>
      <c r="J36" s="57" t="str">
        <f t="shared" si="0"/>
        <v/>
      </c>
    </row>
    <row r="37" spans="1:10" x14ac:dyDescent="0.25">
      <c r="A37" s="52"/>
      <c r="B37" s="55"/>
      <c r="C37" s="53" t="str">
        <f>IF($B37="","",VLOOKUP($B37,Haltestellen!$A:$C,2))</f>
        <v/>
      </c>
      <c r="D37" s="55"/>
      <c r="E37" s="53" t="str">
        <f>IF($D37="","",VLOOKUP($D37,Haltestellen!$A:$C,2))</f>
        <v/>
      </c>
      <c r="F37" s="52"/>
      <c r="G37" s="55"/>
      <c r="H37" s="52"/>
      <c r="I37" s="52"/>
      <c r="J37" s="57" t="str">
        <f t="shared" si="0"/>
        <v/>
      </c>
    </row>
    <row r="38" spans="1:10" x14ac:dyDescent="0.25">
      <c r="A38" s="52"/>
      <c r="B38" s="55"/>
      <c r="C38" s="53" t="str">
        <f>IF($B38="","",VLOOKUP($B38,Haltestellen!$A:$C,2))</f>
        <v/>
      </c>
      <c r="D38" s="55"/>
      <c r="E38" s="53" t="str">
        <f>IF($D38="","",VLOOKUP($D38,Haltestellen!$A:$C,2))</f>
        <v/>
      </c>
      <c r="F38" s="52"/>
      <c r="G38" s="55"/>
      <c r="H38" s="52"/>
      <c r="I38" s="52"/>
      <c r="J38" s="57" t="str">
        <f t="shared" si="0"/>
        <v/>
      </c>
    </row>
    <row r="45" spans="1:10" x14ac:dyDescent="0.25">
      <c r="B45" s="59" t="e">
        <f>MAX(#REF!)</f>
        <v>#REF!</v>
      </c>
    </row>
    <row r="46" spans="1:10" x14ac:dyDescent="0.25">
      <c r="B46" s="59" t="e">
        <f>MIN(#REF!)</f>
        <v>#REF!</v>
      </c>
    </row>
    <row r="47" spans="1:10" x14ac:dyDescent="0.25">
      <c r="B47" s="59" t="e">
        <f>MEDIAN(#REF!)</f>
        <v>#REF!</v>
      </c>
    </row>
  </sheetData>
  <autoFilter ref="B1:E47" xr:uid="{D4DC7ACD-2537-4F70-9140-749F8DEADD91}"/>
  <mergeCells count="36">
    <mergeCell ref="AA1:AB1"/>
    <mergeCell ref="M1:N1"/>
    <mergeCell ref="P1:Q1"/>
    <mergeCell ref="S1:T1"/>
    <mergeCell ref="U1:V1"/>
    <mergeCell ref="Y1:Z1"/>
    <mergeCell ref="L2:L3"/>
    <mergeCell ref="M2:M3"/>
    <mergeCell ref="N2:N3"/>
    <mergeCell ref="L4:L5"/>
    <mergeCell ref="M4:M5"/>
    <mergeCell ref="N4:N5"/>
    <mergeCell ref="L6:L7"/>
    <mergeCell ref="M6:M7"/>
    <mergeCell ref="N6:N7"/>
    <mergeCell ref="L8:L9"/>
    <mergeCell ref="M8:M9"/>
    <mergeCell ref="N8:N9"/>
    <mergeCell ref="L10:L11"/>
    <mergeCell ref="M10:M11"/>
    <mergeCell ref="N10:N11"/>
    <mergeCell ref="L12:L13"/>
    <mergeCell ref="M12:M13"/>
    <mergeCell ref="N12:N13"/>
    <mergeCell ref="L14:L15"/>
    <mergeCell ref="M14:M15"/>
    <mergeCell ref="N14:N15"/>
    <mergeCell ref="L16:L17"/>
    <mergeCell ref="M16:M17"/>
    <mergeCell ref="N16:N17"/>
    <mergeCell ref="L18:L19"/>
    <mergeCell ref="M18:M19"/>
    <mergeCell ref="N18:N19"/>
    <mergeCell ref="L20:L21"/>
    <mergeCell ref="M20:M21"/>
    <mergeCell ref="N20:N21"/>
  </mergeCells>
  <conditionalFormatting sqref="Y2:Z3 Y22:Z1048576 Y1">
    <cfRule type="cellIs" dxfId="137" priority="138" operator="notEqual">
      <formula>""</formula>
    </cfRule>
  </conditionalFormatting>
  <conditionalFormatting sqref="U2:V3 U22:V1048576 U1">
    <cfRule type="cellIs" dxfId="136" priority="137" operator="notEqual">
      <formula>""</formula>
    </cfRule>
  </conditionalFormatting>
  <conditionalFormatting sqref="S2:T3 S22:T1048576 S1">
    <cfRule type="cellIs" dxfId="135" priority="136" operator="notEqual">
      <formula>""</formula>
    </cfRule>
  </conditionalFormatting>
  <conditionalFormatting sqref="X2">
    <cfRule type="cellIs" dxfId="134" priority="135" operator="equal">
      <formula>"x"</formula>
    </cfRule>
  </conditionalFormatting>
  <conditionalFormatting sqref="X1:X3 X22:X1048576">
    <cfRule type="cellIs" dxfId="133" priority="134" operator="equal">
      <formula>"x"</formula>
    </cfRule>
  </conditionalFormatting>
  <conditionalFormatting sqref="AA2:AB3 AA22:AB1048576 AA1">
    <cfRule type="cellIs" dxfId="132" priority="133" operator="notEqual">
      <formula>""</formula>
    </cfRule>
  </conditionalFormatting>
  <conditionalFormatting sqref="X20:X21">
    <cfRule type="cellIs" dxfId="131" priority="71" operator="equal">
      <formula>"x"</formula>
    </cfRule>
  </conditionalFormatting>
  <conditionalFormatting sqref="AA21:AB21">
    <cfRule type="cellIs" dxfId="130" priority="70" operator="notEqual">
      <formula>""</formula>
    </cfRule>
  </conditionalFormatting>
  <conditionalFormatting sqref="R1:R3 R22:R1048576">
    <cfRule type="cellIs" dxfId="129" priority="132" operator="equal">
      <formula>"x"</formula>
    </cfRule>
  </conditionalFormatting>
  <conditionalFormatting sqref="Y5:Z5 Z4">
    <cfRule type="cellIs" dxfId="128" priority="131" operator="notEqual">
      <formula>""</formula>
    </cfRule>
  </conditionalFormatting>
  <conditionalFormatting sqref="U4:V4 V5">
    <cfRule type="cellIs" dxfId="127" priority="130" operator="notEqual">
      <formula>""</formula>
    </cfRule>
  </conditionalFormatting>
  <conditionalFormatting sqref="S4:T4 S5">
    <cfRule type="cellIs" dxfId="126" priority="129" operator="notEqual">
      <formula>""</formula>
    </cfRule>
  </conditionalFormatting>
  <conditionalFormatting sqref="X4">
    <cfRule type="cellIs" dxfId="125" priority="128" operator="equal">
      <formula>"x"</formula>
    </cfRule>
  </conditionalFormatting>
  <conditionalFormatting sqref="X4:X5">
    <cfRule type="cellIs" dxfId="124" priority="127" operator="equal">
      <formula>"x"</formula>
    </cfRule>
  </conditionalFormatting>
  <conditionalFormatting sqref="AA5:AB5 AB4">
    <cfRule type="cellIs" dxfId="123" priority="126" operator="notEqual">
      <formula>""</formula>
    </cfRule>
  </conditionalFormatting>
  <conditionalFormatting sqref="R4:R5">
    <cfRule type="cellIs" dxfId="122" priority="125" operator="equal">
      <formula>"x"</formula>
    </cfRule>
  </conditionalFormatting>
  <conditionalFormatting sqref="Y7:Z7">
    <cfRule type="cellIs" dxfId="121" priority="124" operator="notEqual">
      <formula>""</formula>
    </cfRule>
  </conditionalFormatting>
  <conditionalFormatting sqref="U6:V6">
    <cfRule type="cellIs" dxfId="120" priority="123" operator="notEqual">
      <formula>""</formula>
    </cfRule>
  </conditionalFormatting>
  <conditionalFormatting sqref="S6:T6">
    <cfRule type="cellIs" dxfId="119" priority="122" operator="notEqual">
      <formula>""</formula>
    </cfRule>
  </conditionalFormatting>
  <conditionalFormatting sqref="X6">
    <cfRule type="cellIs" dxfId="118" priority="121" operator="equal">
      <formula>"x"</formula>
    </cfRule>
  </conditionalFormatting>
  <conditionalFormatting sqref="X6:X7">
    <cfRule type="cellIs" dxfId="117" priority="120" operator="equal">
      <formula>"x"</formula>
    </cfRule>
  </conditionalFormatting>
  <conditionalFormatting sqref="AA7:AB7">
    <cfRule type="cellIs" dxfId="116" priority="119" operator="notEqual">
      <formula>""</formula>
    </cfRule>
  </conditionalFormatting>
  <conditionalFormatting sqref="R6:R7">
    <cfRule type="cellIs" dxfId="115" priority="118" operator="equal">
      <formula>"x"</formula>
    </cfRule>
  </conditionalFormatting>
  <conditionalFormatting sqref="Y9:Z9">
    <cfRule type="cellIs" dxfId="114" priority="117" operator="notEqual">
      <formula>""</formula>
    </cfRule>
  </conditionalFormatting>
  <conditionalFormatting sqref="U8:V8">
    <cfRule type="cellIs" dxfId="113" priority="116" operator="notEqual">
      <formula>""</formula>
    </cfRule>
  </conditionalFormatting>
  <conditionalFormatting sqref="S8:T8">
    <cfRule type="cellIs" dxfId="112" priority="115" operator="notEqual">
      <formula>""</formula>
    </cfRule>
  </conditionalFormatting>
  <conditionalFormatting sqref="X8">
    <cfRule type="cellIs" dxfId="111" priority="114" operator="equal">
      <formula>"x"</formula>
    </cfRule>
  </conditionalFormatting>
  <conditionalFormatting sqref="X8:X9">
    <cfRule type="cellIs" dxfId="110" priority="113" operator="equal">
      <formula>"x"</formula>
    </cfRule>
  </conditionalFormatting>
  <conditionalFormatting sqref="AA9:AB9">
    <cfRule type="cellIs" dxfId="109" priority="112" operator="notEqual">
      <formula>""</formula>
    </cfRule>
  </conditionalFormatting>
  <conditionalFormatting sqref="R8:R9">
    <cfRule type="cellIs" dxfId="108" priority="111" operator="equal">
      <formula>"x"</formula>
    </cfRule>
  </conditionalFormatting>
  <conditionalFormatting sqref="Y11:Z11">
    <cfRule type="cellIs" dxfId="107" priority="110" operator="notEqual">
      <formula>""</formula>
    </cfRule>
  </conditionalFormatting>
  <conditionalFormatting sqref="U10:V10">
    <cfRule type="cellIs" dxfId="106" priority="109" operator="notEqual">
      <formula>""</formula>
    </cfRule>
  </conditionalFormatting>
  <conditionalFormatting sqref="S10:T10">
    <cfRule type="cellIs" dxfId="105" priority="108" operator="notEqual">
      <formula>""</formula>
    </cfRule>
  </conditionalFormatting>
  <conditionalFormatting sqref="X10">
    <cfRule type="cellIs" dxfId="104" priority="107" operator="equal">
      <formula>"x"</formula>
    </cfRule>
  </conditionalFormatting>
  <conditionalFormatting sqref="X10:X11">
    <cfRule type="cellIs" dxfId="103" priority="106" operator="equal">
      <formula>"x"</formula>
    </cfRule>
  </conditionalFormatting>
  <conditionalFormatting sqref="AA11:AB11">
    <cfRule type="cellIs" dxfId="102" priority="105" operator="notEqual">
      <formula>""</formula>
    </cfRule>
  </conditionalFormatting>
  <conditionalFormatting sqref="R10:R11">
    <cfRule type="cellIs" dxfId="101" priority="104" operator="equal">
      <formula>"x"</formula>
    </cfRule>
  </conditionalFormatting>
  <conditionalFormatting sqref="Y13:Z13">
    <cfRule type="cellIs" dxfId="100" priority="103" operator="notEqual">
      <formula>""</formula>
    </cfRule>
  </conditionalFormatting>
  <conditionalFormatting sqref="U12:V12">
    <cfRule type="cellIs" dxfId="99" priority="102" operator="notEqual">
      <formula>""</formula>
    </cfRule>
  </conditionalFormatting>
  <conditionalFormatting sqref="S12:T12">
    <cfRule type="cellIs" dxfId="98" priority="101" operator="notEqual">
      <formula>""</formula>
    </cfRule>
  </conditionalFormatting>
  <conditionalFormatting sqref="X12">
    <cfRule type="cellIs" dxfId="97" priority="100" operator="equal">
      <formula>"x"</formula>
    </cfRule>
  </conditionalFormatting>
  <conditionalFormatting sqref="X12:X13">
    <cfRule type="cellIs" dxfId="96" priority="99" operator="equal">
      <formula>"x"</formula>
    </cfRule>
  </conditionalFormatting>
  <conditionalFormatting sqref="AA13:AB13">
    <cfRule type="cellIs" dxfId="95" priority="98" operator="notEqual">
      <formula>""</formula>
    </cfRule>
  </conditionalFormatting>
  <conditionalFormatting sqref="R12:R13">
    <cfRule type="cellIs" dxfId="94" priority="97" operator="equal">
      <formula>"x"</formula>
    </cfRule>
  </conditionalFormatting>
  <conditionalFormatting sqref="Y15:Z15">
    <cfRule type="cellIs" dxfId="93" priority="96" operator="notEqual">
      <formula>""</formula>
    </cfRule>
  </conditionalFormatting>
  <conditionalFormatting sqref="U14:V14">
    <cfRule type="cellIs" dxfId="92" priority="95" operator="notEqual">
      <formula>""</formula>
    </cfRule>
  </conditionalFormatting>
  <conditionalFormatting sqref="S14:T14">
    <cfRule type="cellIs" dxfId="91" priority="94" operator="notEqual">
      <formula>""</formula>
    </cfRule>
  </conditionalFormatting>
  <conditionalFormatting sqref="X14">
    <cfRule type="cellIs" dxfId="90" priority="93" operator="equal">
      <formula>"x"</formula>
    </cfRule>
  </conditionalFormatting>
  <conditionalFormatting sqref="X14:X15">
    <cfRule type="cellIs" dxfId="89" priority="92" operator="equal">
      <formula>"x"</formula>
    </cfRule>
  </conditionalFormatting>
  <conditionalFormatting sqref="AA15:AB15">
    <cfRule type="cellIs" dxfId="88" priority="91" operator="notEqual">
      <formula>""</formula>
    </cfRule>
  </conditionalFormatting>
  <conditionalFormatting sqref="R14:R15">
    <cfRule type="cellIs" dxfId="87" priority="90" operator="equal">
      <formula>"x"</formula>
    </cfRule>
  </conditionalFormatting>
  <conditionalFormatting sqref="Y17:Z17">
    <cfRule type="cellIs" dxfId="86" priority="89" operator="notEqual">
      <formula>""</formula>
    </cfRule>
  </conditionalFormatting>
  <conditionalFormatting sqref="U16:V16">
    <cfRule type="cellIs" dxfId="85" priority="88" operator="notEqual">
      <formula>""</formula>
    </cfRule>
  </conditionalFormatting>
  <conditionalFormatting sqref="S16:T16">
    <cfRule type="cellIs" dxfId="84" priority="87" operator="notEqual">
      <formula>""</formula>
    </cfRule>
  </conditionalFormatting>
  <conditionalFormatting sqref="X16">
    <cfRule type="cellIs" dxfId="83" priority="86" operator="equal">
      <formula>"x"</formula>
    </cfRule>
  </conditionalFormatting>
  <conditionalFormatting sqref="X16:X17">
    <cfRule type="cellIs" dxfId="82" priority="85" operator="equal">
      <formula>"x"</formula>
    </cfRule>
  </conditionalFormatting>
  <conditionalFormatting sqref="AA17:AB17">
    <cfRule type="cellIs" dxfId="81" priority="84" operator="notEqual">
      <formula>""</formula>
    </cfRule>
  </conditionalFormatting>
  <conditionalFormatting sqref="R16:R17">
    <cfRule type="cellIs" dxfId="80" priority="83" operator="equal">
      <formula>"x"</formula>
    </cfRule>
  </conditionalFormatting>
  <conditionalFormatting sqref="Y19:Z19">
    <cfRule type="cellIs" dxfId="79" priority="82" operator="notEqual">
      <formula>""</formula>
    </cfRule>
  </conditionalFormatting>
  <conditionalFormatting sqref="U18:V18">
    <cfRule type="cellIs" dxfId="78" priority="81" operator="notEqual">
      <formula>""</formula>
    </cfRule>
  </conditionalFormatting>
  <conditionalFormatting sqref="S18:T18">
    <cfRule type="cellIs" dxfId="77" priority="80" operator="notEqual">
      <formula>""</formula>
    </cfRule>
  </conditionalFormatting>
  <conditionalFormatting sqref="X18">
    <cfRule type="cellIs" dxfId="76" priority="79" operator="equal">
      <formula>"x"</formula>
    </cfRule>
  </conditionalFormatting>
  <conditionalFormatting sqref="X18:X19">
    <cfRule type="cellIs" dxfId="75" priority="78" operator="equal">
      <formula>"x"</formula>
    </cfRule>
  </conditionalFormatting>
  <conditionalFormatting sqref="AA19:AB19">
    <cfRule type="cellIs" dxfId="74" priority="77" operator="notEqual">
      <formula>""</formula>
    </cfRule>
  </conditionalFormatting>
  <conditionalFormatting sqref="R18:R19">
    <cfRule type="cellIs" dxfId="73" priority="76" operator="equal">
      <formula>"x"</formula>
    </cfRule>
  </conditionalFormatting>
  <conditionalFormatting sqref="Y21:Z21">
    <cfRule type="cellIs" dxfId="72" priority="75" operator="notEqual">
      <formula>""</formula>
    </cfRule>
  </conditionalFormatting>
  <conditionalFormatting sqref="U20:V20">
    <cfRule type="cellIs" dxfId="71" priority="74" operator="notEqual">
      <formula>""</formula>
    </cfRule>
  </conditionalFormatting>
  <conditionalFormatting sqref="S20:T20">
    <cfRule type="cellIs" dxfId="70" priority="73" operator="notEqual">
      <formula>""</formula>
    </cfRule>
  </conditionalFormatting>
  <conditionalFormatting sqref="X20">
    <cfRule type="cellIs" dxfId="69" priority="72" operator="equal">
      <formula>"x"</formula>
    </cfRule>
  </conditionalFormatting>
  <conditionalFormatting sqref="U19">
    <cfRule type="cellIs" dxfId="68" priority="36" operator="notEqual">
      <formula>""</formula>
    </cfRule>
  </conditionalFormatting>
  <conditionalFormatting sqref="R20:R21">
    <cfRule type="cellIs" dxfId="67" priority="69" operator="equal">
      <formula>"x"</formula>
    </cfRule>
  </conditionalFormatting>
  <conditionalFormatting sqref="T5">
    <cfRule type="cellIs" dxfId="66" priority="68" operator="notEqual">
      <formula>""</formula>
    </cfRule>
  </conditionalFormatting>
  <conditionalFormatting sqref="T7">
    <cfRule type="cellIs" dxfId="65" priority="67" operator="notEqual">
      <formula>""</formula>
    </cfRule>
  </conditionalFormatting>
  <conditionalFormatting sqref="T9">
    <cfRule type="cellIs" dxfId="64" priority="66" operator="notEqual">
      <formula>""</formula>
    </cfRule>
  </conditionalFormatting>
  <conditionalFormatting sqref="T11">
    <cfRule type="cellIs" dxfId="63" priority="65" operator="notEqual">
      <formula>""</formula>
    </cfRule>
  </conditionalFormatting>
  <conditionalFormatting sqref="T13">
    <cfRule type="cellIs" dxfId="62" priority="64" operator="notEqual">
      <formula>""</formula>
    </cfRule>
  </conditionalFormatting>
  <conditionalFormatting sqref="T15">
    <cfRule type="cellIs" dxfId="61" priority="63" operator="notEqual">
      <formula>""</formula>
    </cfRule>
  </conditionalFormatting>
  <conditionalFormatting sqref="T17">
    <cfRule type="cellIs" dxfId="60" priority="62" operator="notEqual">
      <formula>""</formula>
    </cfRule>
  </conditionalFormatting>
  <conditionalFormatting sqref="T19">
    <cfRule type="cellIs" dxfId="59" priority="61" operator="notEqual">
      <formula>""</formula>
    </cfRule>
  </conditionalFormatting>
  <conditionalFormatting sqref="T21">
    <cfRule type="cellIs" dxfId="58" priority="60" operator="notEqual">
      <formula>""</formula>
    </cfRule>
  </conditionalFormatting>
  <conditionalFormatting sqref="S7">
    <cfRule type="cellIs" dxfId="57" priority="59" operator="notEqual">
      <formula>""</formula>
    </cfRule>
  </conditionalFormatting>
  <conditionalFormatting sqref="S9">
    <cfRule type="cellIs" dxfId="56" priority="58" operator="notEqual">
      <formula>""</formula>
    </cfRule>
  </conditionalFormatting>
  <conditionalFormatting sqref="S11">
    <cfRule type="cellIs" dxfId="55" priority="57" operator="notEqual">
      <formula>""</formula>
    </cfRule>
  </conditionalFormatting>
  <conditionalFormatting sqref="S13">
    <cfRule type="cellIs" dxfId="54" priority="56" operator="notEqual">
      <formula>""</formula>
    </cfRule>
  </conditionalFormatting>
  <conditionalFormatting sqref="S15">
    <cfRule type="cellIs" dxfId="53" priority="55" operator="notEqual">
      <formula>""</formula>
    </cfRule>
  </conditionalFormatting>
  <conditionalFormatting sqref="S17">
    <cfRule type="cellIs" dxfId="52" priority="54" operator="notEqual">
      <formula>""</formula>
    </cfRule>
  </conditionalFormatting>
  <conditionalFormatting sqref="S19">
    <cfRule type="cellIs" dxfId="51" priority="53" operator="notEqual">
      <formula>""</formula>
    </cfRule>
  </conditionalFormatting>
  <conditionalFormatting sqref="S21">
    <cfRule type="cellIs" dxfId="50" priority="52" operator="notEqual">
      <formula>""</formula>
    </cfRule>
  </conditionalFormatting>
  <conditionalFormatting sqref="V7">
    <cfRule type="cellIs" dxfId="49" priority="51" operator="notEqual">
      <formula>""</formula>
    </cfRule>
  </conditionalFormatting>
  <conditionalFormatting sqref="V9">
    <cfRule type="cellIs" dxfId="48" priority="50" operator="notEqual">
      <formula>""</formula>
    </cfRule>
  </conditionalFormatting>
  <conditionalFormatting sqref="V11">
    <cfRule type="cellIs" dxfId="47" priority="49" operator="notEqual">
      <formula>""</formula>
    </cfRule>
  </conditionalFormatting>
  <conditionalFormatting sqref="V13">
    <cfRule type="cellIs" dxfId="46" priority="48" operator="notEqual">
      <formula>""</formula>
    </cfRule>
  </conditionalFormatting>
  <conditionalFormatting sqref="V15">
    <cfRule type="cellIs" dxfId="45" priority="47" operator="notEqual">
      <formula>""</formula>
    </cfRule>
  </conditionalFormatting>
  <conditionalFormatting sqref="V17">
    <cfRule type="cellIs" dxfId="44" priority="46" operator="notEqual">
      <formula>""</formula>
    </cfRule>
  </conditionalFormatting>
  <conditionalFormatting sqref="V19">
    <cfRule type="cellIs" dxfId="43" priority="45" operator="notEqual">
      <formula>""</formula>
    </cfRule>
  </conditionalFormatting>
  <conditionalFormatting sqref="V21">
    <cfRule type="cellIs" dxfId="42" priority="44" operator="notEqual">
      <formula>""</formula>
    </cfRule>
  </conditionalFormatting>
  <conditionalFormatting sqref="U5">
    <cfRule type="cellIs" dxfId="41" priority="43" operator="notEqual">
      <formula>""</formula>
    </cfRule>
  </conditionalFormatting>
  <conditionalFormatting sqref="U7">
    <cfRule type="cellIs" dxfId="40" priority="42" operator="notEqual">
      <formula>""</formula>
    </cfRule>
  </conditionalFormatting>
  <conditionalFormatting sqref="U9">
    <cfRule type="cellIs" dxfId="39" priority="41" operator="notEqual">
      <formula>""</formula>
    </cfRule>
  </conditionalFormatting>
  <conditionalFormatting sqref="U11">
    <cfRule type="cellIs" dxfId="38" priority="40" operator="notEqual">
      <formula>""</formula>
    </cfRule>
  </conditionalFormatting>
  <conditionalFormatting sqref="U13">
    <cfRule type="cellIs" dxfId="37" priority="39" operator="notEqual">
      <formula>""</formula>
    </cfRule>
  </conditionalFormatting>
  <conditionalFormatting sqref="U15">
    <cfRule type="cellIs" dxfId="36" priority="38" operator="notEqual">
      <formula>""</formula>
    </cfRule>
  </conditionalFormatting>
  <conditionalFormatting sqref="U17">
    <cfRule type="cellIs" dxfId="35" priority="37" operator="notEqual">
      <formula>""</formula>
    </cfRule>
  </conditionalFormatting>
  <conditionalFormatting sqref="AA18">
    <cfRule type="cellIs" dxfId="34" priority="2" operator="notEqual">
      <formula>""</formula>
    </cfRule>
  </conditionalFormatting>
  <conditionalFormatting sqref="U21">
    <cfRule type="cellIs" dxfId="33" priority="35" operator="notEqual">
      <formula>""</formula>
    </cfRule>
  </conditionalFormatting>
  <conditionalFormatting sqref="Z6">
    <cfRule type="cellIs" dxfId="32" priority="34" operator="notEqual">
      <formula>""</formula>
    </cfRule>
  </conditionalFormatting>
  <conditionalFormatting sqref="Z8">
    <cfRule type="cellIs" dxfId="31" priority="33" operator="notEqual">
      <formula>""</formula>
    </cfRule>
  </conditionalFormatting>
  <conditionalFormatting sqref="Z10">
    <cfRule type="cellIs" dxfId="30" priority="32" operator="notEqual">
      <formula>""</formula>
    </cfRule>
  </conditionalFormatting>
  <conditionalFormatting sqref="Z12">
    <cfRule type="cellIs" dxfId="29" priority="31" operator="notEqual">
      <formula>""</formula>
    </cfRule>
  </conditionalFormatting>
  <conditionalFormatting sqref="Z14">
    <cfRule type="cellIs" dxfId="28" priority="30" operator="notEqual">
      <formula>""</formula>
    </cfRule>
  </conditionalFormatting>
  <conditionalFormatting sqref="Z16">
    <cfRule type="cellIs" dxfId="27" priority="29" operator="notEqual">
      <formula>""</formula>
    </cfRule>
  </conditionalFormatting>
  <conditionalFormatting sqref="Z18">
    <cfRule type="cellIs" dxfId="26" priority="28" operator="notEqual">
      <formula>""</formula>
    </cfRule>
  </conditionalFormatting>
  <conditionalFormatting sqref="Z20">
    <cfRule type="cellIs" dxfId="25" priority="27" operator="notEqual">
      <formula>""</formula>
    </cfRule>
  </conditionalFormatting>
  <conditionalFormatting sqref="Y4">
    <cfRule type="cellIs" dxfId="24" priority="26" operator="notEqual">
      <formula>""</formula>
    </cfRule>
  </conditionalFormatting>
  <conditionalFormatting sqref="Y6">
    <cfRule type="cellIs" dxfId="23" priority="25" operator="notEqual">
      <formula>""</formula>
    </cfRule>
  </conditionalFormatting>
  <conditionalFormatting sqref="Y8">
    <cfRule type="cellIs" dxfId="22" priority="24" operator="notEqual">
      <formula>""</formula>
    </cfRule>
  </conditionalFormatting>
  <conditionalFormatting sqref="Y10">
    <cfRule type="cellIs" dxfId="21" priority="23" operator="notEqual">
      <formula>""</formula>
    </cfRule>
  </conditionalFormatting>
  <conditionalFormatting sqref="Y12">
    <cfRule type="cellIs" dxfId="20" priority="22" operator="notEqual">
      <formula>""</formula>
    </cfRule>
  </conditionalFormatting>
  <conditionalFormatting sqref="Y14">
    <cfRule type="cellIs" dxfId="19" priority="21" operator="notEqual">
      <formula>""</formula>
    </cfRule>
  </conditionalFormatting>
  <conditionalFormatting sqref="Y16">
    <cfRule type="cellIs" dxfId="18" priority="20" operator="notEqual">
      <formula>""</formula>
    </cfRule>
  </conditionalFormatting>
  <conditionalFormatting sqref="Y18">
    <cfRule type="cellIs" dxfId="17" priority="19" operator="notEqual">
      <formula>""</formula>
    </cfRule>
  </conditionalFormatting>
  <conditionalFormatting sqref="Y20">
    <cfRule type="cellIs" dxfId="16" priority="18" operator="notEqual">
      <formula>""</formula>
    </cfRule>
  </conditionalFormatting>
  <conditionalFormatting sqref="AB6">
    <cfRule type="cellIs" dxfId="15" priority="17" operator="notEqual">
      <formula>""</formula>
    </cfRule>
  </conditionalFormatting>
  <conditionalFormatting sqref="AB8">
    <cfRule type="cellIs" dxfId="14" priority="16" operator="notEqual">
      <formula>""</formula>
    </cfRule>
  </conditionalFormatting>
  <conditionalFormatting sqref="AB10">
    <cfRule type="cellIs" dxfId="13" priority="15" operator="notEqual">
      <formula>""</formula>
    </cfRule>
  </conditionalFormatting>
  <conditionalFormatting sqref="AB12">
    <cfRule type="cellIs" dxfId="12" priority="14" operator="notEqual">
      <formula>""</formula>
    </cfRule>
  </conditionalFormatting>
  <conditionalFormatting sqref="AB14">
    <cfRule type="cellIs" dxfId="11" priority="13" operator="notEqual">
      <formula>""</formula>
    </cfRule>
  </conditionalFormatting>
  <conditionalFormatting sqref="AB16">
    <cfRule type="cellIs" dxfId="10" priority="12" operator="notEqual">
      <formula>""</formula>
    </cfRule>
  </conditionalFormatting>
  <conditionalFormatting sqref="AB18">
    <cfRule type="cellIs" dxfId="9" priority="11" operator="notEqual">
      <formula>""</formula>
    </cfRule>
  </conditionalFormatting>
  <conditionalFormatting sqref="AB20">
    <cfRule type="cellIs" dxfId="8" priority="10" operator="notEqual">
      <formula>""</formula>
    </cfRule>
  </conditionalFormatting>
  <conditionalFormatting sqref="AA4">
    <cfRule type="cellIs" dxfId="7" priority="9" operator="notEqual">
      <formula>""</formula>
    </cfRule>
  </conditionalFormatting>
  <conditionalFormatting sqref="AA6">
    <cfRule type="cellIs" dxfId="6" priority="8" operator="notEqual">
      <formula>""</formula>
    </cfRule>
  </conditionalFormatting>
  <conditionalFormatting sqref="AA8">
    <cfRule type="cellIs" dxfId="5" priority="7" operator="notEqual">
      <formula>""</formula>
    </cfRule>
  </conditionalFormatting>
  <conditionalFormatting sqref="AA10">
    <cfRule type="cellIs" dxfId="4" priority="6" operator="notEqual">
      <formula>""</formula>
    </cfRule>
  </conditionalFormatting>
  <conditionalFormatting sqref="AA12">
    <cfRule type="cellIs" dxfId="3" priority="5" operator="notEqual">
      <formula>""</formula>
    </cfRule>
  </conditionalFormatting>
  <conditionalFormatting sqref="AA14">
    <cfRule type="cellIs" dxfId="2" priority="4" operator="notEqual">
      <formula>""</formula>
    </cfRule>
  </conditionalFormatting>
  <conditionalFormatting sqref="AA16">
    <cfRule type="cellIs" dxfId="1" priority="3" operator="notEqual">
      <formula>""</formula>
    </cfRule>
  </conditionalFormatting>
  <conditionalFormatting sqref="AA20">
    <cfRule type="cellIs" dxfId="0" priority="1" operator="notEqual">
      <formula>""</formula>
    </cfRule>
  </conditionalFormatting>
  <pageMargins left="0.7" right="0.7" top="0.78740157499999996" bottom="0.78740157499999996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7A449-9080-44F1-8104-6622CBB7062A}">
  <sheetPr codeName="Tabelle8">
    <tabColor rgb="FF7030A0"/>
  </sheetPr>
  <dimension ref="A1:E31"/>
  <sheetViews>
    <sheetView workbookViewId="0">
      <pane ySplit="1" topLeftCell="A2" activePane="bottomLeft" state="frozen"/>
      <selection pane="bottomLeft" activeCell="B7" sqref="B7"/>
    </sheetView>
  </sheetViews>
  <sheetFormatPr baseColWidth="10" defaultRowHeight="15" x14ac:dyDescent="0.25"/>
  <cols>
    <col min="1" max="1" width="8.42578125" style="58" customWidth="1"/>
    <col min="2" max="2" width="18" bestFit="1" customWidth="1"/>
    <col min="3" max="3" width="8.28515625" style="58" bestFit="1" customWidth="1"/>
    <col min="4" max="4" width="3.28515625" style="58" bestFit="1" customWidth="1"/>
  </cols>
  <sheetData>
    <row r="1" spans="1:5" x14ac:dyDescent="0.25">
      <c r="A1" s="60" t="s">
        <v>57</v>
      </c>
      <c r="B1" s="61" t="s">
        <v>58</v>
      </c>
      <c r="C1" s="60" t="s">
        <v>59</v>
      </c>
      <c r="D1" s="60" t="s">
        <v>60</v>
      </c>
    </row>
    <row r="2" spans="1:5" x14ac:dyDescent="0.25">
      <c r="A2" s="58" t="s">
        <v>49</v>
      </c>
      <c r="B2" t="s">
        <v>61</v>
      </c>
      <c r="C2" s="58">
        <v>1</v>
      </c>
      <c r="D2" s="58" t="s">
        <v>62</v>
      </c>
    </row>
    <row r="3" spans="1:5" x14ac:dyDescent="0.25">
      <c r="A3" s="58" t="s">
        <v>50</v>
      </c>
      <c r="B3" t="s">
        <v>63</v>
      </c>
      <c r="C3" s="58">
        <v>1</v>
      </c>
      <c r="D3" s="58" t="s">
        <v>64</v>
      </c>
    </row>
    <row r="4" spans="1:5" x14ac:dyDescent="0.25">
      <c r="A4" s="58" t="s">
        <v>65</v>
      </c>
      <c r="B4" t="s">
        <v>130</v>
      </c>
      <c r="C4" s="58">
        <v>2</v>
      </c>
      <c r="D4" s="58" t="s">
        <v>62</v>
      </c>
    </row>
    <row r="5" spans="1:5" x14ac:dyDescent="0.25">
      <c r="A5" s="58" t="s">
        <v>41</v>
      </c>
      <c r="B5" t="s">
        <v>127</v>
      </c>
      <c r="C5" s="58">
        <v>2</v>
      </c>
      <c r="D5" s="58" t="s">
        <v>64</v>
      </c>
    </row>
    <row r="6" spans="1:5" x14ac:dyDescent="0.25">
      <c r="A6" s="58" t="s">
        <v>122</v>
      </c>
      <c r="B6" t="s">
        <v>128</v>
      </c>
      <c r="C6" s="58">
        <v>3</v>
      </c>
      <c r="D6" s="58" t="s">
        <v>62</v>
      </c>
      <c r="E6" s="58"/>
    </row>
    <row r="7" spans="1:5" x14ac:dyDescent="0.25">
      <c r="A7" s="58" t="s">
        <v>121</v>
      </c>
      <c r="B7" t="s">
        <v>129</v>
      </c>
      <c r="C7" s="58">
        <v>3</v>
      </c>
      <c r="D7" s="58" t="s">
        <v>64</v>
      </c>
      <c r="E7" s="58"/>
    </row>
    <row r="8" spans="1:5" x14ac:dyDescent="0.25">
      <c r="A8" s="58" t="s">
        <v>123</v>
      </c>
      <c r="B8" t="s">
        <v>119</v>
      </c>
      <c r="C8" s="58">
        <v>1</v>
      </c>
      <c r="D8" s="58" t="s">
        <v>62</v>
      </c>
    </row>
    <row r="9" spans="1:5" x14ac:dyDescent="0.25">
      <c r="A9" s="58" t="s">
        <v>124</v>
      </c>
      <c r="B9" t="s">
        <v>120</v>
      </c>
      <c r="C9" s="58">
        <v>1</v>
      </c>
      <c r="D9" s="58" t="s">
        <v>64</v>
      </c>
    </row>
    <row r="10" spans="1:5" x14ac:dyDescent="0.25">
      <c r="A10" s="58" t="s">
        <v>125</v>
      </c>
      <c r="B10" t="s">
        <v>66</v>
      </c>
      <c r="C10" s="58">
        <v>2</v>
      </c>
      <c r="D10" s="58" t="s">
        <v>62</v>
      </c>
    </row>
    <row r="11" spans="1:5" x14ac:dyDescent="0.25">
      <c r="A11" s="58" t="s">
        <v>126</v>
      </c>
      <c r="B11" t="s">
        <v>67</v>
      </c>
      <c r="C11" s="58">
        <v>2</v>
      </c>
      <c r="D11" s="58" t="s">
        <v>64</v>
      </c>
    </row>
    <row r="12" spans="1:5" x14ac:dyDescent="0.25">
      <c r="A12" s="58" t="s">
        <v>46</v>
      </c>
      <c r="B12" t="s">
        <v>115</v>
      </c>
      <c r="C12" s="58">
        <v>2</v>
      </c>
      <c r="D12" s="58" t="s">
        <v>62</v>
      </c>
    </row>
    <row r="13" spans="1:5" x14ac:dyDescent="0.25">
      <c r="A13" s="58" t="s">
        <v>43</v>
      </c>
      <c r="B13" t="s">
        <v>116</v>
      </c>
      <c r="C13" s="58">
        <v>2</v>
      </c>
      <c r="D13" s="58" t="s">
        <v>64</v>
      </c>
    </row>
    <row r="14" spans="1:5" x14ac:dyDescent="0.25">
      <c r="A14" s="58" t="s">
        <v>113</v>
      </c>
      <c r="B14" t="s">
        <v>68</v>
      </c>
      <c r="C14" s="58">
        <v>9</v>
      </c>
      <c r="D14" s="58" t="s">
        <v>62</v>
      </c>
    </row>
    <row r="15" spans="1:5" x14ac:dyDescent="0.25">
      <c r="A15" s="58" t="s">
        <v>114</v>
      </c>
      <c r="B15" t="s">
        <v>69</v>
      </c>
      <c r="C15" s="58">
        <v>9</v>
      </c>
      <c r="D15" s="58" t="s">
        <v>64</v>
      </c>
    </row>
    <row r="16" spans="1:5" x14ac:dyDescent="0.25">
      <c r="A16" s="58" t="s">
        <v>56</v>
      </c>
      <c r="B16" t="s">
        <v>70</v>
      </c>
      <c r="C16" s="58">
        <v>6</v>
      </c>
      <c r="D16" s="58" t="s">
        <v>62</v>
      </c>
      <c r="E16" s="58"/>
    </row>
    <row r="17" spans="1:5" x14ac:dyDescent="0.25">
      <c r="A17" s="58" t="s">
        <v>71</v>
      </c>
      <c r="B17" t="s">
        <v>72</v>
      </c>
      <c r="C17" s="58">
        <v>6</v>
      </c>
      <c r="D17" s="58" t="s">
        <v>64</v>
      </c>
      <c r="E17" s="58"/>
    </row>
    <row r="18" spans="1:5" x14ac:dyDescent="0.25">
      <c r="A18" s="58" t="s">
        <v>55</v>
      </c>
      <c r="B18" t="s">
        <v>73</v>
      </c>
      <c r="C18" s="58">
        <v>7</v>
      </c>
      <c r="D18" s="58" t="s">
        <v>62</v>
      </c>
    </row>
    <row r="19" spans="1:5" x14ac:dyDescent="0.25">
      <c r="A19" s="58" t="s">
        <v>74</v>
      </c>
      <c r="B19" t="s">
        <v>75</v>
      </c>
      <c r="C19" s="58">
        <v>7</v>
      </c>
      <c r="D19" s="58" t="s">
        <v>64</v>
      </c>
    </row>
    <row r="20" spans="1:5" x14ac:dyDescent="0.25">
      <c r="A20" s="58" t="s">
        <v>54</v>
      </c>
      <c r="B20" t="s">
        <v>76</v>
      </c>
      <c r="C20" s="58">
        <v>8</v>
      </c>
      <c r="D20" s="58" t="s">
        <v>62</v>
      </c>
    </row>
    <row r="21" spans="1:5" x14ac:dyDescent="0.25">
      <c r="A21" s="58" t="s">
        <v>77</v>
      </c>
      <c r="B21" t="s">
        <v>78</v>
      </c>
      <c r="C21" s="58">
        <v>8</v>
      </c>
      <c r="D21" s="58" t="s">
        <v>64</v>
      </c>
    </row>
    <row r="22" spans="1:5" x14ac:dyDescent="0.25">
      <c r="A22" s="58" t="s">
        <v>40</v>
      </c>
      <c r="B22" t="s">
        <v>117</v>
      </c>
      <c r="C22" s="58">
        <v>1</v>
      </c>
      <c r="D22" s="58" t="s">
        <v>62</v>
      </c>
    </row>
    <row r="23" spans="1:5" x14ac:dyDescent="0.25">
      <c r="A23" s="58" t="s">
        <v>39</v>
      </c>
      <c r="B23" t="s">
        <v>118</v>
      </c>
      <c r="C23" s="58">
        <v>1</v>
      </c>
      <c r="D23" s="58" t="s">
        <v>64</v>
      </c>
    </row>
    <row r="24" spans="1:5" x14ac:dyDescent="0.25">
      <c r="A24" s="58" t="s">
        <v>53</v>
      </c>
      <c r="B24" t="s">
        <v>79</v>
      </c>
      <c r="C24" s="58">
        <v>1</v>
      </c>
      <c r="D24" s="58" t="s">
        <v>62</v>
      </c>
    </row>
    <row r="25" spans="1:5" x14ac:dyDescent="0.25">
      <c r="A25" s="58" t="s">
        <v>51</v>
      </c>
      <c r="B25" t="s">
        <v>80</v>
      </c>
      <c r="C25" s="58">
        <v>1</v>
      </c>
      <c r="D25" s="58" t="s">
        <v>64</v>
      </c>
    </row>
    <row r="26" spans="1:5" x14ac:dyDescent="0.25">
      <c r="A26" s="58" t="s">
        <v>52</v>
      </c>
      <c r="B26" t="s">
        <v>81</v>
      </c>
      <c r="C26" s="58">
        <v>3</v>
      </c>
      <c r="D26" s="58" t="s">
        <v>62</v>
      </c>
    </row>
    <row r="27" spans="1:5" x14ac:dyDescent="0.25">
      <c r="A27" s="58" t="s">
        <v>48</v>
      </c>
      <c r="B27" t="s">
        <v>82</v>
      </c>
      <c r="C27" s="58">
        <v>3</v>
      </c>
      <c r="D27" s="58" t="s">
        <v>64</v>
      </c>
    </row>
    <row r="28" spans="1:5" x14ac:dyDescent="0.25">
      <c r="A28" s="58" t="s">
        <v>42</v>
      </c>
      <c r="B28" t="s">
        <v>83</v>
      </c>
      <c r="C28" s="58">
        <v>2</v>
      </c>
      <c r="D28" s="58" t="s">
        <v>62</v>
      </c>
    </row>
    <row r="29" spans="1:5" x14ac:dyDescent="0.25">
      <c r="A29" s="58" t="s">
        <v>44</v>
      </c>
      <c r="B29" t="s">
        <v>84</v>
      </c>
      <c r="C29" s="58">
        <v>2</v>
      </c>
      <c r="D29" s="58" t="s">
        <v>64</v>
      </c>
    </row>
    <row r="30" spans="1:5" x14ac:dyDescent="0.25">
      <c r="A30" s="58" t="s">
        <v>38</v>
      </c>
      <c r="B30" t="s">
        <v>85</v>
      </c>
      <c r="C30" s="58">
        <v>1</v>
      </c>
      <c r="D30" s="58" t="s">
        <v>62</v>
      </c>
    </row>
    <row r="31" spans="1:5" x14ac:dyDescent="0.25">
      <c r="A31" s="58" t="s">
        <v>29</v>
      </c>
      <c r="B31" t="s">
        <v>86</v>
      </c>
      <c r="C31" s="58">
        <v>1</v>
      </c>
      <c r="D31" s="58" t="s">
        <v>64</v>
      </c>
    </row>
  </sheetData>
  <sortState xmlns:xlrd2="http://schemas.microsoft.com/office/spreadsheetml/2017/richdata2" ref="A2:D31">
    <sortCondition ref="A2:A31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Fahrplan</vt:lpstr>
      <vt:lpstr>IC-Routen</vt:lpstr>
      <vt:lpstr>S-Bahn-Routen</vt:lpstr>
      <vt:lpstr>K-Zug-Routen</vt:lpstr>
      <vt:lpstr>R-Lok-Routen</vt:lpstr>
      <vt:lpstr>Haltestellen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Fahrplan in Excel</dc:title>
  <dc:creator>Stepanek</dc:creator>
  <cp:keywords>Fahrplan, Fahrzeiten</cp:keywords>
  <cp:lastModifiedBy>Dieter Stepanek</cp:lastModifiedBy>
  <cp:lastPrinted>2023-04-29T14:44:32Z</cp:lastPrinted>
  <dcterms:created xsi:type="dcterms:W3CDTF">2023-04-15T08:06:30Z</dcterms:created>
  <dcterms:modified xsi:type="dcterms:W3CDTF">2024-10-06T08:25:28Z</dcterms:modified>
  <cp:category>Planung</cp:category>
</cp:coreProperties>
</file>